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'06'!$A$1:$S$85</definedName>
    <definedName name="_xlnm.Print_Area" localSheetId="22">'07'!$A$1:$T$87</definedName>
    <definedName name="_xlnm.Print_Area" localSheetId="23">'08'!$A$1:$N$30</definedName>
    <definedName name="_xlnm.Print_Area" localSheetId="26">'11'!$A$1:$U$31</definedName>
    <definedName name="_xlnm.Print_Area" localSheetId="1">'Mãu BC mien giam 8'!$A$1:$N$36</definedName>
    <definedName name="_xlnm.Print_Area" localSheetId="15">'PT02'!$A$1:$C$40</definedName>
    <definedName name="_xlnm.Print_Area" localSheetId="19">'PT04'!$A$1:$C$40</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35.xml><?xml version="1.0" encoding="utf-8"?>
<comments xmlns="http://schemas.openxmlformats.org/spreadsheetml/2006/main">
  <authors>
    <author>pc</author>
  </authors>
  <commentList>
    <comment ref="B14" authorId="0">
      <text>
        <r>
          <rPr>
            <b/>
            <sz val="9"/>
            <rFont val="Tahoma"/>
            <family val="0"/>
          </rPr>
          <t>pc:</t>
        </r>
        <r>
          <rPr>
            <sz val="9"/>
            <rFont val="Tahoma"/>
            <family val="0"/>
          </rPr>
          <t xml:space="preserve">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<sst xmlns="http://schemas.openxmlformats.org/spreadsheetml/2006/main" count="3812" uniqueCount="773">
  <si>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</si>
  <si>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</si>
  <si>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</si>
  <si>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</si>
  <si>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</si>
  <si>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</si>
  <si>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</si>
  <si>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</si>
  <si>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</si>
  <si>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</si>
  <si>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</si>
  <si>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</si>
  <si>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</si>
  <si>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</si>
  <si>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</si>
  <si>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</si>
  <si>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</si>
  <si>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</si>
  <si>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</si>
  <si>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</si>
  <si>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</si>
  <si>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</si>
  <si>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</si>
  <si>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</si>
  <si>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</si>
  <si>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</si>
  <si>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</si>
  <si>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</si>
  <si>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</si>
  <si>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</si>
  <si>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</si>
  <si>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</si>
  <si>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</si>
  <si>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</si>
  <si>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</si>
  <si>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</si>
  <si>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</si>
  <si>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</si>
  <si>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</si>
  <si>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</si>
  <si>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</si>
  <si>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</si>
  <si>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</si>
  <si>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</si>
  <si>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</si>
  <si>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</si>
  <si>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</si>
  <si>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</si>
  <si>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</si>
  <si>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</si>
  <si>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</si>
  <si>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</si>
  <si>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</si>
  <si>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</si>
  <si>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</si>
  <si>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</si>
  <si>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</si>
  <si>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</si>
  <si>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</si>
  <si>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</si>
  <si>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</si>
  <si>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</si>
  <si>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</si>
  <si>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</si>
  <si>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</si>
  <si>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</si>
  <si>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</si>
  <si>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</si>
  <si>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</si>
  <si>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</si>
  <si>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</si>
  <si>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</si>
  <si>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</si>
  <si>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</si>
  <si>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</si>
  <si>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</si>
  <si>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</si>
  <si>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</si>
  <si>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</si>
  <si>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</si>
  <si>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</si>
  <si>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</si>
  <si>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</si>
  <si>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</si>
  <si>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</si>
  <si>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</si>
  <si>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</si>
  <si>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</si>
  <si>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</si>
  <si>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</si>
  <si>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</si>
  <si>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</si>
  <si>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</si>
  <si>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</si>
  <si>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</si>
  <si>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</si>
  <si>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</si>
  <si>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</si>
  <si>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</si>
  <si>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</si>
  <si>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</si>
  <si>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</si>
  <si>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</si>
  <si>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</si>
  <si>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</si>
  <si>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</si>
  <si>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</si>
  <si>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</si>
  <si>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</si>
  <si>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</si>
  <si>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</si>
  <si>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</si>
  <si>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</si>
  <si>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</si>
  <si>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</si>
  <si>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</si>
  <si>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</si>
  <si>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</si>
  <si>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</si>
  <si>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</si>
  <si>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</si>
  <si>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</si>
  <si>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</si>
  <si>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</si>
  <si>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</si>
  <si>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</si>
  <si>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</si>
  <si>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</si>
  <si>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</si>
  <si>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</si>
  <si>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</si>
  <si>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</si>
  <si>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</si>
  <si>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</si>
  <si>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</si>
  <si>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</si>
  <si>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</si>
  <si>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</si>
  <si>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</si>
  <si>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</si>
  <si>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</si>
  <si>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</si>
  <si>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</si>
  <si>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</si>
  <si>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</si>
  <si>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</si>
  <si>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</si>
  <si>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</si>
  <si>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</si>
  <si>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</si>
  <si>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</si>
  <si>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</si>
  <si>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</si>
  <si>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</si>
  <si>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</si>
  <si>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</si>
  <si>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</si>
  <si>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</si>
  <si>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</si>
  <si>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</si>
  <si>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</si>
  <si>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</si>
  <si>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</si>
  <si>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</si>
  <si>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</si>
  <si>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</si>
  <si>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</si>
  <si>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</si>
  <si>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</si>
  <si>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</si>
  <si>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</si>
  <si>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</si>
  <si>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</si>
  <si>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</si>
  <si>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</si>
  <si>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</si>
  <si>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</si>
  <si>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</si>
  <si>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</si>
  <si>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</si>
  <si>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</si>
  <si>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</si>
  <si>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</si>
  <si>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</si>
  <si>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</si>
  <si>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</si>
  <si>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</si>
  <si>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</si>
  <si>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</si>
  <si>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</si>
  <si>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</si>
  <si>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</si>
  <si>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</si>
  <si>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</si>
  <si>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</si>
  <si>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</si>
  <si>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</si>
  <si>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</si>
  <si>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</si>
  <si>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</si>
  <si>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</si>
  <si>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</si>
  <si>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</si>
  <si>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</si>
  <si>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</si>
  <si>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</si>
  <si>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</si>
  <si>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</si>
  <si>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</si>
  <si>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</si>
  <si>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</si>
  <si>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</si>
  <si>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</si>
  <si>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</si>
  <si>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</si>
  <si>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</si>
  <si>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</si>
  <si>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</si>
  <si>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</si>
  <si>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</si>
  <si>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</si>
  <si>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</si>
  <si>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</si>
  <si>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</si>
  <si>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</si>
  <si>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</si>
  <si>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</si>
  <si>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</si>
  <si>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</si>
  <si>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</si>
  <si>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</si>
  <si>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</si>
  <si>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</si>
  <si>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</si>
  <si>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</si>
  <si>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</si>
  <si>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</si>
  <si>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</si>
  <si>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</si>
  <si>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</si>
  <si>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</si>
  <si>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</si>
  <si>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</si>
  <si>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</si>
  <si>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</si>
  <si>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</si>
  <si>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</si>
  <si>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</si>
  <si>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</si>
  <si>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</si>
  <si>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</si>
  <si>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</si>
  <si>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</si>
  <si>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</si>
  <si>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</si>
  <si>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</si>
  <si>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</si>
  <si>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</si>
  <si>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</si>
  <si>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</si>
  <si>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</si>
  <si>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</si>
  <si>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</si>
  <si>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</si>
  <si>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</si>
  <si>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</si>
  <si>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</si>
  <si>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</si>
  <si>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</si>
  <si>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</si>
  <si>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</si>
  <si>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</si>
  <si>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</si>
  <si>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</si>
  <si>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</si>
  <si>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</si>
  <si>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</si>
  <si>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</si>
  <si>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</si>
  <si>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</si>
  <si>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</si>
  <si>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</si>
  <si>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</si>
  <si>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</si>
  <si>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</si>
  <si>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</si>
  <si>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</si>
  <si>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</si>
  <si>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</si>
  <si>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</si>
  <si>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</si>
  <si>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</si>
  <si>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</si>
  <si>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</si>
  <si>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</si>
  <si>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</si>
  <si>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</si>
  <si>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</si>
  <si>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</si>
  <si>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</si>
  <si>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</si>
  <si>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</si>
  <si>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</si>
  <si>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</si>
  <si>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</si>
  <si>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</si>
  <si>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</si>
  <si>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</si>
  <si>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</si>
  <si>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</si>
  <si>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</si>
  <si>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</si>
  <si>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</si>
  <si>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</si>
  <si>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</si>
  <si>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</si>
  <si>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</si>
  <si>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</si>
  <si>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</si>
  <si>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</si>
  <si>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</si>
  <si>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</si>
  <si>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</si>
  <si>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</si>
  <si>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</si>
  <si>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</si>
  <si>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</si>
  <si>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</si>
  <si>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</si>
  <si>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</si>
  <si>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</si>
  <si>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</si>
  <si>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</si>
  <si>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</si>
  <si>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</si>
  <si>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</si>
  <si>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</si>
  <si>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</si>
  <si>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</si>
  <si>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</si>
  <si>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</si>
  <si>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</si>
  <si>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</si>
  <si>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</si>
  <si>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</si>
  <si>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</si>
  <si>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</si>
  <si>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</si>
  <si>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</si>
  <si>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</si>
  <si>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</si>
  <si>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</si>
  <si>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</si>
  <si>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</si>
  <si>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</si>
  <si>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</si>
  <si>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</si>
  <si>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</si>
  <si>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</si>
  <si>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</si>
  <si>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</si>
  <si>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</si>
  <si>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</si>
  <si>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</si>
  <si>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</si>
  <si>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</si>
  <si>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</si>
  <si>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</si>
  <si>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</si>
  <si>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</si>
  <si>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</si>
  <si>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</si>
  <si>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</si>
  <si>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</si>
  <si>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</si>
  <si>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</si>
  <si>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</si>
  <si>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</si>
  <si>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</si>
  <si>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</si>
  <si>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</si>
  <si>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</si>
  <si>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</si>
  <si>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</si>
  <si>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</si>
  <si>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</si>
  <si>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</si>
  <si>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</si>
  <si>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</si>
  <si>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</si>
  <si>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</si>
  <si>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</si>
  <si>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</si>
  <si>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</si>
  <si>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</si>
  <si>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</si>
  <si>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</si>
  <si>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</si>
  <si>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</si>
  <si>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</si>
  <si>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</si>
  <si>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</si>
  <si>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</si>
  <si>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</si>
  <si>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</si>
  <si>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</si>
  <si>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</si>
  <si>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</si>
  <si>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</si>
  <si>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</si>
  <si>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</si>
  <si>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</si>
  <si>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</si>
  <si>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</si>
  <si>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</si>
  <si>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</si>
  <si>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</si>
  <si>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</si>
  <si>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</si>
  <si>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</si>
  <si>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</si>
  <si>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</si>
  <si>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</si>
  <si>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</si>
  <si>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</si>
  <si>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</si>
  <si>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</si>
  <si>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</si>
  <si>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</si>
  <si>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</si>
  <si>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</si>
  <si>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</si>
  <si>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</si>
  <si>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</si>
  <si>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</si>
  <si>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</si>
  <si>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</si>
  <si>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</si>
  <si>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</si>
  <si>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</si>
  <si>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</si>
  <si>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</si>
  <si>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</si>
  <si>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</si>
  <si>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</si>
  <si>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</si>
  <si>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</si>
  <si>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</si>
  <si>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</si>
  <si>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</si>
  <si>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</si>
  <si>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</si>
  <si>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</si>
  <si>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</si>
  <si>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</si>
  <si>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</si>
  <si>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</si>
  <si>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</si>
  <si>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</si>
  <si>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</si>
  <si>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</si>
  <si>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</si>
  <si>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</si>
  <si>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</si>
  <si>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</si>
  <si>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</si>
  <si>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</si>
  <si>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</si>
  <si>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</si>
  <si>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</si>
  <si>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</si>
  <si>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</si>
  <si>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</si>
  <si>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</si>
  <si>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</si>
  <si>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</si>
  <si>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</si>
  <si>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</si>
  <si>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</si>
  <si>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</si>
  <si>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</si>
  <si>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</si>
  <si>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</si>
  <si>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</si>
  <si>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</si>
  <si>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</si>
  <si>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</si>
  <si>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</si>
  <si>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</si>
  <si>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</si>
  <si>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</si>
  <si>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</si>
  <si>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</si>
  <si>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</si>
  <si>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</si>
  <si>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</si>
  <si>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</si>
  <si>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</si>
  <si>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</si>
  <si>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</si>
  <si>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</si>
  <si>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</si>
  <si>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</si>
  <si>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</si>
  <si>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</si>
  <si>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</si>
  <si>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</si>
  <si>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</si>
  <si>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</si>
  <si>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</si>
  <si>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</si>
  <si>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</si>
  <si>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</si>
  <si>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</si>
  <si>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</si>
  <si>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</si>
  <si>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</si>
  <si>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</si>
  <si>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</si>
  <si>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</si>
  <si>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</si>
  <si>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</si>
  <si>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</si>
  <si>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</si>
  <si>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</si>
  <si>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</si>
  <si>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</si>
  <si>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</si>
  <si>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</si>
  <si>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</si>
  <si>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</si>
  <si>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</si>
  <si>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</si>
  <si>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</si>
  <si>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</si>
  <si>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</si>
  <si>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</si>
  <si>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</si>
  <si>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</si>
  <si>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</si>
  <si>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</si>
  <si>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</si>
  <si>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</si>
  <si>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</si>
  <si>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</si>
  <si>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</si>
  <si>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</si>
  <si>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</si>
  <si>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</si>
  <si>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</si>
  <si>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</si>
  <si>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</si>
  <si>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</si>
  <si>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</si>
  <si>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</si>
  <si>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</si>
  <si>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</si>
  <si>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</si>
  <si>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</si>
  <si>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</si>
  <si>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</si>
  <si>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</si>
  <si>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</si>
  <si>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</si>
  <si>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</si>
  <si>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</si>
  <si>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</si>
  <si>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</si>
  <si>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</si>
  <si>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</si>
  <si>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</si>
  <si>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</si>
  <si>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</si>
  <si>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</si>
  <si>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</si>
  <si>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</si>
  <si>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</si>
  <si>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</si>
  <si>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</si>
  <si>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</si>
  <si>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</si>
  <si>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</si>
  <si>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</si>
  <si>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</si>
  <si>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</si>
  <si>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</si>
  <si>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</si>
  <si>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</si>
  <si>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</si>
  <si>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</si>
  <si>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</si>
  <si>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</si>
  <si>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</si>
  <si>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</si>
  <si>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</si>
  <si>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</si>
  <si>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</si>
  <si>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</si>
  <si>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</si>
  <si>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</si>
  <si>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</si>
  <si>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</si>
  <si>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</si>
  <si>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</si>
  <si>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</si>
  <si>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</si>
  <si>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</si>
  <si>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</si>
  <si>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</si>
  <si>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</si>
  <si>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</si>
  <si>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</si>
  <si>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</si>
  <si>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</si>
  <si>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</si>
  <si>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</si>
  <si>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</si>
  <si>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</si>
  <si>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</si>
  <si>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</si>
  <si>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</si>
  <si>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</si>
  <si>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</si>
  <si>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</si>
  <si>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</si>
  <si>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</si>
  <si>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</si>
  <si>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</si>
  <si>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</si>
  <si>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</si>
  <si>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</si>
  <si>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</si>
  <si>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</si>
  <si>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</si>
  <si>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</si>
  <si>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</si>
  <si>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</si>
  <si>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</si>
  <si>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</si>
  <si>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</si>
  <si>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</si>
  <si>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</si>
  <si>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</si>
  <si>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</si>
  <si>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</si>
  <si>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</si>
  <si>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</si>
  <si>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</si>
  <si>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</si>
  <si>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</si>
  <si>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</si>
  <si>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</si>
  <si>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</si>
  <si>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</si>
  <si>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</si>
  <si>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</si>
  <si>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</si>
  <si>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</si>
  <si>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</si>
  <si>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</si>
  <si>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</si>
  <si>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</si>
  <si>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</si>
  <si>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</si>
  <si>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</si>
  <si>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</si>
  <si>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</si>
  <si>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</si>
  <si>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r>
      <t xml:space="preserve">Đơn vị gửi báo cáo: </t>
    </r>
    <r>
      <rPr>
        <b/>
        <sz val="12"/>
        <rFont val="Times New Roman"/>
        <family val="1"/>
      </rPr>
      <t xml:space="preserve">
</t>
    </r>
  </si>
  <si>
    <r>
      <t xml:space="preserve">Đơn vị nhận báo cáo: </t>
    </r>
    <r>
      <rPr>
        <b/>
        <sz val="12"/>
        <rFont val="Times New Roman"/>
        <family val="1"/>
      </rPr>
      <t xml:space="preserve">Tổng cục </t>
    </r>
  </si>
  <si>
    <t>SỐ CUỘC KIỂM SÁT VÀ KẾT QUẢ  KIỂM SÁT</t>
  </si>
  <si>
    <t>SỐ VIỆC, SỐ TIỀN TRONG CÁC BẢN ÁN, QUYẾT ĐỊNH KHÁNG NGHỊ  VÀ KẾT QUẢ XỬ LÝ KHÁNG NGHỊ
 CỦA TOÀ ÁN VÀ VIỆN KIỂM SÁT</t>
  </si>
  <si>
    <t>Đơn vị báo cáo:</t>
  </si>
  <si>
    <t>ngày 26 tháng 6 năm 201513</t>
  </si>
  <si>
    <t>Biểu số: 11/TK-THA</t>
  </si>
  <si>
    <t>Biểu số: 12/TK-THA</t>
  </si>
  <si>
    <t xml:space="preserve"> Viện KSND cấp cao</t>
  </si>
  <si>
    <t>Ngày nhận báo cáo:………………...…</t>
  </si>
  <si>
    <t>Ngày nhận báo cáo:….……………...…</t>
  </si>
  <si>
    <t xml:space="preserve"> Ngày nhận báo cáo:………………...…</t>
  </si>
  <si>
    <t>Cục THADS tỉnh Bình Thuận</t>
  </si>
  <si>
    <t>Trần Quốc Bảo</t>
  </si>
  <si>
    <t>Trần Nam</t>
  </si>
  <si>
    <t>Cục THADS tỉnh</t>
  </si>
  <si>
    <t>Huỳnh Văn Hùng</t>
  </si>
  <si>
    <t>Nguyễn Văn Bình</t>
  </si>
  <si>
    <t>Nguyễn Hồng Nga</t>
  </si>
  <si>
    <t>Nguyễn Thị Kim Yến</t>
  </si>
  <si>
    <t>Ngô Minh Thành</t>
  </si>
  <si>
    <t>Trần Thanh Lương</t>
  </si>
  <si>
    <t>Hà Vi Tùng</t>
  </si>
  <si>
    <t>Nguyễn Đức Minh</t>
  </si>
  <si>
    <t>Lữ Văn Quí</t>
  </si>
  <si>
    <t>Nguyễn T. Thanh Miền</t>
  </si>
  <si>
    <t>Hồ Sỹ Thông</t>
  </si>
  <si>
    <t>THADS Tp. Phan Thiết</t>
  </si>
  <si>
    <t>Trần Thị Thanh Nga</t>
  </si>
  <si>
    <t>Trần Đức Tín</t>
  </si>
  <si>
    <t>Ngô Trí Hùng</t>
  </si>
  <si>
    <t>Trương Quang Hy</t>
  </si>
  <si>
    <t>Lê Tấn Dũng</t>
  </si>
  <si>
    <t>Ng. Kiều Khánh Trang</t>
  </si>
  <si>
    <t>Đinh Đình Hiền</t>
  </si>
  <si>
    <t>Võ Văn Hiếu</t>
  </si>
  <si>
    <t>Nguyễn Thanh Tùng</t>
  </si>
  <si>
    <t>1.10</t>
  </si>
  <si>
    <t>Bùi Thị Minh Ngà</t>
  </si>
  <si>
    <t>THADS Tx. Lagi</t>
  </si>
  <si>
    <t>Trần Thanh An</t>
  </si>
  <si>
    <t>Hồ Thị Khánh Huệ</t>
  </si>
  <si>
    <t>Nguyễn Chí Lập</t>
  </si>
  <si>
    <t>Khưu Quốc Việt</t>
  </si>
  <si>
    <t>THADS H. Tuy Phong</t>
  </si>
  <si>
    <t>Trần Khắc Minh</t>
  </si>
  <si>
    <t>Trần Sơn</t>
  </si>
  <si>
    <t>Nguyễn Thái Thường</t>
  </si>
  <si>
    <t>Cao Thị Diệu Huyền</t>
  </si>
  <si>
    <t>Qua Đình Thiện</t>
  </si>
  <si>
    <t>THADS H. Bắc Bình</t>
  </si>
  <si>
    <t>Tiền Minh Sướng</t>
  </si>
  <si>
    <t>Lê Văn Hoàng</t>
  </si>
  <si>
    <t>Võ Duy Giáp</t>
  </si>
  <si>
    <t>Huỳnh Thảo Huy</t>
  </si>
  <si>
    <t>THADS H. Đức Linh</t>
  </si>
  <si>
    <t>Huỳnh Tấn Tài</t>
  </si>
  <si>
    <t>Nguyễn Thị Hoà</t>
  </si>
  <si>
    <t>Lê Ngọc Thiện</t>
  </si>
  <si>
    <t>THADS H. Tánh Linh</t>
  </si>
  <si>
    <t>Hoàng Văn Phụng</t>
  </si>
  <si>
    <t>Nguyễn Văn Lập</t>
  </si>
  <si>
    <t>THADS H. Hàm T. Bắc</t>
  </si>
  <si>
    <t>Phan Văn Lại</t>
  </si>
  <si>
    <t>Hồ Triều Châu</t>
  </si>
  <si>
    <t>Lê Ngọc Phách</t>
  </si>
  <si>
    <t>Trần Thị Loan</t>
  </si>
  <si>
    <t>Thông Thị Kiến</t>
  </si>
  <si>
    <t>THADS H. Hàm T. Nam</t>
  </si>
  <si>
    <t>Nguyễn Xuân Kiều</t>
  </si>
  <si>
    <t>Nguyễn Thành Nhân</t>
  </si>
  <si>
    <t>Phạm Thị Sáng</t>
  </si>
  <si>
    <t>Lê Văn Cao</t>
  </si>
  <si>
    <t>THADS H. Hàm Tân</t>
  </si>
  <si>
    <t>Nguyễn Thanh Cao</t>
  </si>
  <si>
    <t>Nguyễn Linh Giang</t>
  </si>
  <si>
    <t>Bùi Thái Bình</t>
  </si>
  <si>
    <t>THADS H. Phú Quý</t>
  </si>
  <si>
    <t>Nguyễn Thị Ngữ</t>
  </si>
  <si>
    <t>Nguyễn Văn Thành</t>
  </si>
  <si>
    <t>Chi cục THADS TP Phan Thiết</t>
  </si>
  <si>
    <t>Chi cục THADS TX Lagi</t>
  </si>
  <si>
    <t>Chi cục THADS H. Tuy Phong</t>
  </si>
  <si>
    <t>Chi cục THADS H. Bắc Bình</t>
  </si>
  <si>
    <t>Chi cục THADS H. Đức Linh</t>
  </si>
  <si>
    <t>Chi cục THADS H. Tánh Linh</t>
  </si>
  <si>
    <t>Chi cục THADS H. Hàm T.Bắc</t>
  </si>
  <si>
    <t>Chi cục THADS H. Hàm T. Nam</t>
  </si>
  <si>
    <t>Chi cục THADS H. Hàm Tân</t>
  </si>
  <si>
    <t>Chi cục THADS H. Phú Quý</t>
  </si>
  <si>
    <t>Cục Thi hành án DS tỉnh</t>
  </si>
  <si>
    <t xml:space="preserve">2 </t>
  </si>
  <si>
    <t>Ng T. Thanh Miền</t>
  </si>
  <si>
    <t xml:space="preserve">12 </t>
  </si>
  <si>
    <t xml:space="preserve">   KẾT QUẢ THI HÀNH ÁN DÂN SỰ TÍNH BẰNG TIỀN </t>
  </si>
  <si>
    <t xml:space="preserve">Đơn vị  nhận báo cáo: </t>
  </si>
  <si>
    <t>Tổng cục THADS - Bộ Tư pháp</t>
  </si>
  <si>
    <t>Tổng cục THADS- Bộ Tư pháp</t>
  </si>
  <si>
    <t>KT. CỤC TRƯỞNG</t>
  </si>
  <si>
    <t>PHÓ CỤC TRƯỞNG</t>
  </si>
  <si>
    <t>Hôn nhân 
và gia đình</t>
  </si>
  <si>
    <r>
      <rPr>
        <sz val="12"/>
        <rFont val="Times New Roman"/>
        <family val="1"/>
      </rPr>
      <t>10 tháng / năm 2016</t>
    </r>
  </si>
  <si>
    <r>
      <t xml:space="preserve">
Số lượng </t>
    </r>
    <r>
      <rPr>
        <sz val="10"/>
        <rFont val="Times New Roman"/>
        <family val="1"/>
      </rPr>
      <t>(việc)</t>
    </r>
    <r>
      <rPr>
        <b/>
        <sz val="10"/>
        <rFont val="Times New Roman"/>
        <family val="1"/>
      </rPr>
      <t xml:space="preserve">
</t>
    </r>
  </si>
  <si>
    <r>
      <t xml:space="preserve">Số lượng </t>
    </r>
    <r>
      <rPr>
        <sz val="10"/>
        <rFont val="Times New Roman"/>
        <family val="1"/>
      </rPr>
      <t>(1.000 VN đồng)</t>
    </r>
  </si>
  <si>
    <r>
      <rPr>
        <sz val="12"/>
        <rFont val="Times New Roman"/>
        <family val="1"/>
      </rPr>
      <t>Bình Thuận, ngày 04 tháng 8 năm 2016</t>
    </r>
  </si>
</sst>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s>
  <fonts count="147">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2"/>
      <color indexed="8"/>
      <name val="Times New Roman"/>
      <family val="1"/>
    </font>
    <font>
      <sz val="11"/>
      <color indexed="8"/>
      <name val="Times New Roman"/>
      <family val="1"/>
    </font>
    <font>
      <sz val="6"/>
      <name val="Times New Roman"/>
      <family val="1"/>
    </font>
    <font>
      <b/>
      <sz val="10"/>
      <color indexed="8"/>
      <name val="Times New Roman"/>
      <family val="1"/>
    </font>
    <font>
      <b/>
      <sz val="11"/>
      <color indexed="8"/>
      <name val="Times New Roman"/>
      <family val="1"/>
    </font>
    <font>
      <sz val="10"/>
      <color indexed="8"/>
      <name val="Times New Roman"/>
      <family val="1"/>
    </font>
    <font>
      <b/>
      <sz val="12"/>
      <color indexed="8"/>
      <name val="Times New Roman"/>
      <family val="1"/>
    </font>
    <font>
      <sz val="8"/>
      <name val="Traditional Arabic"/>
      <family val="1"/>
    </font>
    <font>
      <b/>
      <i/>
      <sz val="8"/>
      <name val="Traditional Arabic"/>
      <family val="1"/>
    </font>
    <font>
      <sz val="6"/>
      <color indexed="10"/>
      <name val="Times New Roman"/>
      <family val="1"/>
    </font>
    <font>
      <b/>
      <sz val="10"/>
      <color indexed="10"/>
      <name val="Times New Roman"/>
      <family val="1"/>
    </font>
    <font>
      <sz val="7"/>
      <name val="Traditional Arabic"/>
      <family val="1"/>
    </font>
    <font>
      <b/>
      <sz val="13"/>
      <name val=".VnTime"/>
      <family val="2"/>
    </font>
    <font>
      <b/>
      <i/>
      <sz val="13"/>
      <name val="Arial"/>
      <family val="2"/>
    </font>
    <font>
      <i/>
      <sz val="13"/>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double"/>
    </border>
    <border>
      <left>
        <color indexed="63"/>
      </left>
      <right>
        <color indexed="63"/>
      </right>
      <top style="double"/>
      <bottom>
        <color indexed="63"/>
      </bottom>
    </border>
    <border>
      <left>
        <color indexed="63"/>
      </left>
      <right style="thin"/>
      <top style="thin"/>
      <bottom style="double"/>
    </border>
    <border>
      <left style="thin"/>
      <right>
        <color indexed="63"/>
      </right>
      <top style="thin"/>
      <bottom style="double"/>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13"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13"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1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3" fillId="6"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113"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13"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3"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13"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11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3"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113"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14" fillId="12" borderId="0" applyNumberFormat="0" applyBorder="0" applyAlignment="0" applyProtection="0"/>
    <xf numFmtId="0" fontId="43" fillId="12" borderId="0" applyNumberFormat="0" applyBorder="0" applyAlignment="0" applyProtection="0"/>
    <xf numFmtId="0" fontId="43" fillId="12" borderId="0" applyNumberFormat="0" applyBorder="0" applyAlignment="0" applyProtection="0"/>
    <xf numFmtId="0" fontId="114"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114"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114"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4"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114"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114"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114"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114"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4"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115" fillId="3"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16" fillId="20" borderId="1" applyNumberFormat="0" applyAlignment="0" applyProtection="0"/>
    <xf numFmtId="0" fontId="45" fillId="20" borderId="1" applyNumberFormat="0" applyAlignment="0" applyProtection="0"/>
    <xf numFmtId="0" fontId="45" fillId="20" borderId="1" applyNumberFormat="0" applyAlignment="0" applyProtection="0"/>
    <xf numFmtId="0" fontId="117" fillId="21" borderId="2" applyNumberFormat="0" applyAlignment="0" applyProtection="0"/>
    <xf numFmtId="0" fontId="46" fillId="21" borderId="2"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19"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20"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121"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122"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12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23" fillId="7" borderId="1" applyNumberFormat="0" applyAlignment="0" applyProtection="0"/>
    <xf numFmtId="0" fontId="52" fillId="7" borderId="1" applyNumberFormat="0" applyAlignment="0" applyProtection="0"/>
    <xf numFmtId="0" fontId="52" fillId="7" borderId="1" applyNumberFormat="0" applyAlignment="0" applyProtection="0"/>
    <xf numFmtId="0" fontId="124" fillId="0" borderId="6" applyNumberFormat="0" applyFill="0" applyAlignment="0" applyProtection="0"/>
    <xf numFmtId="0" fontId="53" fillId="0" borderId="6" applyNumberFormat="0" applyFill="0" applyAlignment="0" applyProtection="0"/>
    <xf numFmtId="0" fontId="53" fillId="0" borderId="6" applyNumberFormat="0" applyFill="0" applyAlignment="0" applyProtection="0"/>
    <xf numFmtId="0" fontId="125"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23" borderId="7" applyNumberFormat="0" applyFont="0" applyAlignment="0" applyProtection="0"/>
    <xf numFmtId="0" fontId="42" fillId="23" borderId="7" applyNumberFormat="0" applyFont="0" applyAlignment="0" applyProtection="0"/>
    <xf numFmtId="0" fontId="42" fillId="23" borderId="7" applyNumberFormat="0" applyFont="0" applyAlignment="0" applyProtection="0"/>
    <xf numFmtId="0" fontId="126" fillId="20" borderId="8" applyNumberFormat="0" applyAlignment="0" applyProtection="0"/>
    <xf numFmtId="0" fontId="55" fillId="20" borderId="8" applyNumberFormat="0" applyAlignment="0" applyProtection="0"/>
    <xf numFmtId="0" fontId="55" fillId="20"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2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28"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12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867">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0" xfId="96" applyNumberFormat="1" applyFont="1" applyBorder="1" applyAlignment="1">
      <alignment vertical="center"/>
    </xf>
    <xf numFmtId="49" fontId="10" fillId="0" borderId="11" xfId="0" applyNumberFormat="1" applyFont="1" applyBorder="1" applyAlignment="1">
      <alignment horizontal="center"/>
    </xf>
    <xf numFmtId="49" fontId="8" fillId="0" borderId="0" xfId="0" applyNumberFormat="1" applyFont="1" applyAlignment="1">
      <alignment/>
    </xf>
    <xf numFmtId="49" fontId="10" fillId="0" borderId="11" xfId="0" applyNumberFormat="1" applyFont="1" applyFill="1" applyBorder="1" applyAlignment="1">
      <alignment horizontal="left"/>
    </xf>
    <xf numFmtId="49" fontId="12" fillId="0" borderId="12"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3" xfId="0" applyNumberFormat="1" applyFont="1" applyFill="1" applyBorder="1" applyAlignment="1">
      <alignment/>
    </xf>
    <xf numFmtId="49" fontId="10" fillId="0" borderId="13" xfId="0" applyNumberFormat="1" applyFont="1" applyFill="1" applyBorder="1" applyAlignment="1">
      <alignment/>
    </xf>
    <xf numFmtId="49" fontId="10"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xf>
    <xf numFmtId="49" fontId="11" fillId="0" borderId="11" xfId="0" applyNumberFormat="1" applyFont="1" applyFill="1" applyBorder="1" applyAlignment="1">
      <alignment horizontal="left"/>
    </xf>
    <xf numFmtId="49" fontId="21" fillId="0" borderId="11" xfId="0" applyNumberFormat="1" applyFont="1" applyFill="1" applyBorder="1" applyAlignment="1">
      <alignment horizontal="center" vertical="center" wrapText="1"/>
    </xf>
    <xf numFmtId="49" fontId="11" fillId="0" borderId="14" xfId="0" applyNumberFormat="1" applyFont="1" applyFill="1" applyBorder="1" applyAlignment="1">
      <alignment horizontal="center"/>
    </xf>
    <xf numFmtId="49" fontId="17" fillId="0" borderId="11" xfId="0" applyNumberFormat="1" applyFont="1" applyFill="1" applyBorder="1" applyAlignment="1">
      <alignment horizontal="left"/>
    </xf>
    <xf numFmtId="49" fontId="10" fillId="0" borderId="11" xfId="0" applyNumberFormat="1" applyFont="1" applyFill="1" applyBorder="1" applyAlignment="1">
      <alignment horizontal="center"/>
    </xf>
    <xf numFmtId="49" fontId="12" fillId="0" borderId="11" xfId="0" applyNumberFormat="1" applyFont="1" applyFill="1" applyBorder="1" applyAlignment="1">
      <alignment horizontal="center"/>
    </xf>
    <xf numFmtId="49" fontId="22" fillId="0" borderId="11"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11"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11"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11" xfId="0" applyNumberFormat="1" applyFont="1" applyBorder="1" applyAlignment="1">
      <alignment horizontal="left" vertical="center" wrapText="1"/>
    </xf>
    <xf numFmtId="49" fontId="0" fillId="24" borderId="11" xfId="0" applyNumberFormat="1" applyFont="1" applyFill="1" applyBorder="1" applyAlignment="1">
      <alignment/>
    </xf>
    <xf numFmtId="3" fontId="8" fillId="24" borderId="11" xfId="135" applyNumberFormat="1" applyFont="1" applyFill="1" applyBorder="1" applyAlignment="1" applyProtection="1">
      <alignment horizontal="center" vertical="center"/>
      <protection/>
    </xf>
    <xf numFmtId="49" fontId="0" fillId="24"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20" fillId="0" borderId="0" xfId="136" applyNumberFormat="1" applyFont="1" applyAlignment="1">
      <alignment/>
      <protection/>
    </xf>
    <xf numFmtId="49" fontId="0" fillId="0" borderId="0" xfId="136" applyNumberFormat="1" applyFont="1" applyBorder="1" applyAlignment="1">
      <alignment horizontal="left" wrapText="1"/>
      <protection/>
    </xf>
    <xf numFmtId="49" fontId="23"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8" fillId="24" borderId="13" xfId="136" applyNumberFormat="1" applyFont="1" applyFill="1" applyBorder="1" applyAlignment="1">
      <alignment/>
      <protection/>
    </xf>
    <xf numFmtId="49" fontId="12" fillId="0" borderId="11" xfId="136" applyNumberFormat="1" applyFont="1" applyFill="1" applyBorder="1" applyAlignment="1">
      <alignment horizontal="center" vertical="center" wrapText="1"/>
      <protection/>
    </xf>
    <xf numFmtId="49" fontId="59" fillId="25" borderId="11" xfId="136" applyNumberFormat="1" applyFont="1" applyFill="1" applyBorder="1" applyAlignment="1">
      <alignment horizontal="center"/>
      <protection/>
    </xf>
    <xf numFmtId="49" fontId="12" fillId="0" borderId="12" xfId="136" applyNumberFormat="1" applyFont="1" applyFill="1" applyBorder="1" applyAlignment="1">
      <alignment horizontal="center" vertical="center" wrapText="1"/>
      <protection/>
    </xf>
    <xf numFmtId="49" fontId="12" fillId="0" borderId="11" xfId="136" applyNumberFormat="1" applyFont="1" applyBorder="1" applyAlignment="1">
      <alignment horizontal="center" vertical="center" wrapText="1"/>
      <protection/>
    </xf>
    <xf numFmtId="49" fontId="60" fillId="0" borderId="11" xfId="136" applyNumberFormat="1" applyFont="1" applyFill="1" applyBorder="1" applyAlignment="1">
      <alignment horizontal="center" vertical="center" wrapText="1"/>
      <protection/>
    </xf>
    <xf numFmtId="49" fontId="23" fillId="0" borderId="11" xfId="136" applyNumberFormat="1" applyFont="1" applyBorder="1" applyAlignment="1">
      <alignment horizontal="center" vertical="center"/>
      <protection/>
    </xf>
    <xf numFmtId="3" fontId="0" fillId="0" borderId="11" xfId="136" applyNumberFormat="1" applyFont="1" applyBorder="1" applyAlignment="1">
      <alignment horizontal="center" vertical="center"/>
      <protection/>
    </xf>
    <xf numFmtId="3" fontId="0" fillId="0" borderId="11" xfId="136" applyNumberFormat="1" applyFont="1" applyBorder="1" applyAlignment="1">
      <alignment vertical="center"/>
      <protection/>
    </xf>
    <xf numFmtId="49" fontId="0" fillId="0" borderId="0" xfId="136" applyNumberFormat="1" applyAlignment="1">
      <alignment vertical="center"/>
      <protection/>
    </xf>
    <xf numFmtId="3" fontId="58" fillId="3" borderId="11" xfId="136" applyNumberFormat="1" applyFont="1" applyFill="1" applyBorder="1" applyAlignment="1">
      <alignment vertical="center"/>
      <protection/>
    </xf>
    <xf numFmtId="3" fontId="63" fillId="3" borderId="11" xfId="136" applyNumberFormat="1" applyFont="1" applyFill="1" applyBorder="1" applyAlignment="1">
      <alignment vertical="center"/>
      <protection/>
    </xf>
    <xf numFmtId="49" fontId="64" fillId="0" borderId="11" xfId="136" applyNumberFormat="1" applyFont="1" applyBorder="1" applyAlignment="1">
      <alignment horizontal="center" vertical="center"/>
      <protection/>
    </xf>
    <xf numFmtId="3" fontId="30" fillId="22" borderId="11" xfId="136" applyNumberFormat="1" applyFont="1" applyFill="1" applyBorder="1" applyAlignment="1">
      <alignment vertical="center"/>
      <protection/>
    </xf>
    <xf numFmtId="3" fontId="7" fillId="25" borderId="11" xfId="136" applyNumberFormat="1" applyFont="1" applyFill="1" applyBorder="1" applyAlignment="1">
      <alignment horizontal="center" vertical="center"/>
      <protection/>
    </xf>
    <xf numFmtId="3" fontId="7" fillId="25" borderId="11" xfId="136" applyNumberFormat="1" applyFont="1" applyFill="1" applyBorder="1" applyAlignment="1">
      <alignment vertical="center"/>
      <protection/>
    </xf>
    <xf numFmtId="49" fontId="12" fillId="22" borderId="11" xfId="136" applyNumberFormat="1" applyFont="1" applyFill="1" applyBorder="1" applyAlignment="1">
      <alignment horizontal="center" vertical="center"/>
      <protection/>
    </xf>
    <xf numFmtId="49" fontId="12" fillId="22" borderId="11" xfId="136" applyNumberFormat="1" applyFont="1" applyFill="1" applyBorder="1" applyAlignment="1">
      <alignment horizontal="left" vertical="center"/>
      <protection/>
    </xf>
    <xf numFmtId="3" fontId="34" fillId="25" borderId="11" xfId="136" applyNumberFormat="1" applyFont="1" applyFill="1" applyBorder="1" applyAlignment="1">
      <alignment vertical="center"/>
      <protection/>
    </xf>
    <xf numFmtId="3" fontId="34" fillId="0" borderId="11" xfId="136" applyNumberFormat="1" applyFont="1" applyFill="1" applyBorder="1" applyAlignment="1">
      <alignment vertical="center"/>
      <protection/>
    </xf>
    <xf numFmtId="9" fontId="0" fillId="0" borderId="0" xfId="147" applyFont="1" applyAlignment="1">
      <alignment vertical="center"/>
    </xf>
    <xf numFmtId="49" fontId="12" fillId="22" borderId="14" xfId="136" applyNumberFormat="1" applyFont="1" applyFill="1" applyBorder="1" applyAlignment="1">
      <alignment horizontal="center" vertical="center"/>
      <protection/>
    </xf>
    <xf numFmtId="3" fontId="30" fillId="22" borderId="11" xfId="136" applyNumberFormat="1" applyFont="1" applyFill="1" applyBorder="1" applyAlignment="1">
      <alignment vertical="center"/>
      <protection/>
    </xf>
    <xf numFmtId="49" fontId="8" fillId="0" borderId="11" xfId="136" applyNumberFormat="1" applyFont="1" applyBorder="1" applyAlignment="1">
      <alignment horizontal="center" vertical="center"/>
      <protection/>
    </xf>
    <xf numFmtId="49" fontId="8" fillId="24" borderId="11" xfId="136" applyNumberFormat="1" applyFont="1" applyFill="1" applyBorder="1" applyAlignment="1">
      <alignment horizontal="left" vertical="center"/>
      <protection/>
    </xf>
    <xf numFmtId="49" fontId="10"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vertical="center"/>
      <protection/>
    </xf>
    <xf numFmtId="49" fontId="25" fillId="0" borderId="0" xfId="136" applyNumberFormat="1" applyFont="1" applyAlignment="1">
      <alignment vertical="center"/>
      <protection/>
    </xf>
    <xf numFmtId="49" fontId="8" fillId="24" borderId="11" xfId="136" applyNumberFormat="1" applyFont="1" applyFill="1" applyBorder="1" applyAlignment="1">
      <alignment horizontal="left" vertical="center"/>
      <protection/>
    </xf>
    <xf numFmtId="3" fontId="34" fillId="0" borderId="11" xfId="138" applyNumberFormat="1" applyFont="1" applyFill="1" applyBorder="1" applyAlignment="1">
      <alignment horizontal="center" vertical="center"/>
      <protection/>
    </xf>
    <xf numFmtId="49" fontId="0" fillId="0" borderId="0" xfId="136" applyNumberFormat="1" applyFill="1">
      <alignment/>
      <protection/>
    </xf>
    <xf numFmtId="49" fontId="25" fillId="0" borderId="0" xfId="136" applyNumberFormat="1" applyFont="1">
      <alignment/>
      <protection/>
    </xf>
    <xf numFmtId="49" fontId="34" fillId="0" borderId="0" xfId="136" applyNumberFormat="1" applyFont="1" applyFill="1" applyBorder="1" applyAlignment="1">
      <alignment horizontal="center" wrapText="1"/>
      <protection/>
    </xf>
    <xf numFmtId="49" fontId="65" fillId="0" borderId="0" xfId="136" applyNumberFormat="1" applyFont="1" applyBorder="1">
      <alignment/>
      <protection/>
    </xf>
    <xf numFmtId="49" fontId="66"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7" fillId="0" borderId="0" xfId="136" applyNumberFormat="1" applyFont="1" applyBorder="1">
      <alignment/>
      <protection/>
    </xf>
    <xf numFmtId="49" fontId="30" fillId="0" borderId="0" xfId="136" applyNumberFormat="1" applyFont="1" applyBorder="1" applyAlignment="1">
      <alignment horizontal="center" wrapText="1"/>
      <protection/>
    </xf>
    <xf numFmtId="49" fontId="30" fillId="0" borderId="0" xfId="136" applyNumberFormat="1" applyFont="1" applyFill="1" applyBorder="1" applyAlignment="1">
      <alignment horizontal="center" wrapText="1"/>
      <protection/>
    </xf>
    <xf numFmtId="49" fontId="68" fillId="0" borderId="0" xfId="136" applyNumberFormat="1" applyFont="1" applyBorder="1">
      <alignment/>
      <protection/>
    </xf>
    <xf numFmtId="49" fontId="69" fillId="0" borderId="0" xfId="136" applyNumberFormat="1" applyFont="1" applyBorder="1" applyAlignment="1">
      <alignment wrapText="1"/>
      <protection/>
    </xf>
    <xf numFmtId="49" fontId="6" fillId="0" borderId="0" xfId="136" applyNumberFormat="1" applyFont="1" applyBorder="1">
      <alignment/>
      <protection/>
    </xf>
    <xf numFmtId="49" fontId="46" fillId="0" borderId="0" xfId="136" applyNumberFormat="1" applyFont="1" applyBorder="1" applyAlignment="1">
      <alignment horizontal="center" wrapText="1"/>
      <protection/>
    </xf>
    <xf numFmtId="49" fontId="46" fillId="0" borderId="0" xfId="136" applyNumberFormat="1" applyFont="1" applyFill="1" applyBorder="1" applyAlignment="1">
      <alignment horizontal="center" wrapText="1"/>
      <protection/>
    </xf>
    <xf numFmtId="49" fontId="70" fillId="0" borderId="0" xfId="136" applyNumberFormat="1" applyFont="1" applyBorder="1">
      <alignment/>
      <protection/>
    </xf>
    <xf numFmtId="49" fontId="34" fillId="0" borderId="0" xfId="136" applyNumberFormat="1" applyFont="1">
      <alignment/>
      <protection/>
    </xf>
    <xf numFmtId="49" fontId="34" fillId="0" borderId="0" xfId="136" applyNumberFormat="1" applyFont="1" applyFill="1">
      <alignment/>
      <protection/>
    </xf>
    <xf numFmtId="49" fontId="34" fillId="24" borderId="0" xfId="136" applyNumberFormat="1" applyFont="1" applyFill="1">
      <alignment/>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0" fontId="72" fillId="0" borderId="0" xfId="136" applyFont="1" applyAlignment="1">
      <alignment/>
      <protection/>
    </xf>
    <xf numFmtId="0" fontId="7" fillId="0" borderId="0" xfId="136" applyFont="1" applyAlignment="1">
      <alignment/>
      <protection/>
    </xf>
    <xf numFmtId="49" fontId="37" fillId="0" borderId="0" xfId="136" applyNumberFormat="1" applyFont="1">
      <alignment/>
      <protection/>
    </xf>
    <xf numFmtId="3" fontId="0" fillId="0" borderId="0" xfId="136" applyNumberFormat="1" applyFont="1" applyFill="1">
      <alignment/>
      <protection/>
    </xf>
    <xf numFmtId="49" fontId="7"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24" fillId="0" borderId="13" xfId="136" applyNumberFormat="1" applyFont="1" applyFill="1" applyBorder="1" applyAlignment="1">
      <alignment/>
      <protection/>
    </xf>
    <xf numFmtId="49" fontId="10" fillId="0" borderId="13" xfId="136" applyNumberFormat="1" applyFont="1" applyFill="1" applyBorder="1" applyAlignment="1">
      <alignment horizontal="center"/>
      <protection/>
    </xf>
    <xf numFmtId="49" fontId="0" fillId="0" borderId="0" xfId="136" applyNumberFormat="1" applyFill="1" applyBorder="1">
      <alignment/>
      <protection/>
    </xf>
    <xf numFmtId="49" fontId="11" fillId="0" borderId="11" xfId="136" applyNumberFormat="1" applyFont="1" applyFill="1" applyBorder="1" applyAlignment="1">
      <alignment horizontal="center" vertical="center" wrapText="1"/>
      <protection/>
    </xf>
    <xf numFmtId="49" fontId="24" fillId="0" borderId="11" xfId="136" applyNumberFormat="1" applyFont="1" applyFill="1" applyBorder="1" applyAlignment="1">
      <alignment horizontal="center" vertical="center" wrapText="1"/>
      <protection/>
    </xf>
    <xf numFmtId="3" fontId="35" fillId="3" borderId="11" xfId="136" applyNumberFormat="1" applyFont="1" applyFill="1" applyBorder="1" applyAlignment="1">
      <alignment horizontal="center" vertical="center" wrapText="1"/>
      <protection/>
    </xf>
    <xf numFmtId="3" fontId="75" fillId="3" borderId="11" xfId="136" applyNumberFormat="1" applyFont="1" applyFill="1" applyBorder="1" applyAlignment="1">
      <alignment horizontal="center" vertical="center" wrapText="1"/>
      <protection/>
    </xf>
    <xf numFmtId="3" fontId="11" fillId="22" borderId="11" xfId="136" applyNumberFormat="1" applyFont="1" applyFill="1" applyBorder="1" applyAlignment="1">
      <alignment horizontal="center" vertical="center" wrapText="1"/>
      <protection/>
    </xf>
    <xf numFmtId="49" fontId="12" fillId="0" borderId="11" xfId="136" applyNumberFormat="1" applyFont="1" applyFill="1" applyBorder="1" applyAlignment="1">
      <alignment horizontal="center"/>
      <protection/>
    </xf>
    <xf numFmtId="49" fontId="12" fillId="0" borderId="11" xfId="136" applyNumberFormat="1" applyFont="1" applyFill="1" applyBorder="1" applyAlignment="1">
      <alignment horizontal="left"/>
      <protection/>
    </xf>
    <xf numFmtId="3" fontId="10" fillId="22" borderId="11" xfId="136" applyNumberFormat="1" applyFont="1" applyFill="1" applyBorder="1" applyAlignment="1">
      <alignment horizontal="center" vertical="center" wrapText="1"/>
      <protection/>
    </xf>
    <xf numFmtId="3" fontId="10" fillId="0" borderId="11" xfId="136" applyNumberFormat="1" applyFont="1" applyFill="1" applyBorder="1" applyAlignment="1">
      <alignment horizontal="center" vertical="center" wrapText="1"/>
      <protection/>
    </xf>
    <xf numFmtId="9" fontId="0" fillId="0" borderId="0" xfId="147" applyFont="1" applyFill="1" applyAlignment="1">
      <alignment/>
    </xf>
    <xf numFmtId="49" fontId="12" fillId="22" borderId="14" xfId="136" applyNumberFormat="1" applyFont="1" applyFill="1" applyBorder="1" applyAlignment="1">
      <alignment horizontal="center"/>
      <protection/>
    </xf>
    <xf numFmtId="49" fontId="12" fillId="22" borderId="11" xfId="136" applyNumberFormat="1" applyFont="1" applyFill="1" applyBorder="1" applyAlignment="1">
      <alignment horizontal="left"/>
      <protection/>
    </xf>
    <xf numFmtId="49" fontId="8" fillId="0" borderId="14" xfId="136" applyNumberFormat="1" applyFont="1" applyFill="1" applyBorder="1" applyAlignment="1">
      <alignment horizontal="center"/>
      <protection/>
    </xf>
    <xf numFmtId="49" fontId="8" fillId="24" borderId="11" xfId="136" applyNumberFormat="1" applyFont="1" applyFill="1" applyBorder="1" applyAlignment="1">
      <alignment horizontal="left"/>
      <protection/>
    </xf>
    <xf numFmtId="3" fontId="10" fillId="24" borderId="11" xfId="136" applyNumberFormat="1" applyFont="1" applyFill="1" applyBorder="1" applyAlignment="1">
      <alignment horizontal="center" vertical="center" wrapText="1"/>
      <protection/>
    </xf>
    <xf numFmtId="49" fontId="10" fillId="24" borderId="11" xfId="136" applyNumberFormat="1" applyFont="1" applyFill="1" applyBorder="1" applyAlignment="1">
      <alignment horizontal="left"/>
      <protection/>
    </xf>
    <xf numFmtId="49" fontId="11" fillId="0" borderId="10" xfId="136" applyNumberFormat="1" applyFont="1" applyFill="1" applyBorder="1" applyAlignment="1">
      <alignment horizontal="center"/>
      <protection/>
    </xf>
    <xf numFmtId="49" fontId="11" fillId="0" borderId="10" xfId="136" applyNumberFormat="1" applyFont="1" applyFill="1" applyBorder="1" applyAlignment="1">
      <alignment horizontal="left"/>
      <protection/>
    </xf>
    <xf numFmtId="3" fontId="10" fillId="0" borderId="10" xfId="136" applyNumberFormat="1" applyFont="1" applyFill="1" applyBorder="1" applyAlignment="1">
      <alignment horizontal="center" vertical="center" wrapText="1"/>
      <protection/>
    </xf>
    <xf numFmtId="49" fontId="20" fillId="0" borderId="0" xfId="136" applyNumberFormat="1" applyFont="1" applyFill="1" applyBorder="1" applyAlignment="1">
      <alignment vertical="center" wrapText="1"/>
      <protection/>
    </xf>
    <xf numFmtId="49" fontId="76" fillId="0" borderId="0" xfId="136" applyNumberFormat="1" applyFont="1" applyFill="1">
      <alignment/>
      <protection/>
    </xf>
    <xf numFmtId="49" fontId="8" fillId="0" borderId="0" xfId="136" applyNumberFormat="1" applyFont="1" applyFill="1">
      <alignment/>
      <protection/>
    </xf>
    <xf numFmtId="49" fontId="0" fillId="24" borderId="0" xfId="136" applyNumberFormat="1" applyFont="1" applyFill="1">
      <alignment/>
      <protection/>
    </xf>
    <xf numFmtId="49" fontId="7" fillId="24" borderId="0" xfId="136" applyNumberFormat="1" applyFont="1" applyFill="1" applyAlignment="1">
      <alignment horizontal="center"/>
      <protection/>
    </xf>
    <xf numFmtId="49" fontId="27" fillId="0" borderId="0" xfId="136" applyNumberFormat="1" applyFont="1" applyFill="1">
      <alignment/>
      <protection/>
    </xf>
    <xf numFmtId="49" fontId="7" fillId="0" borderId="0" xfId="136" applyNumberFormat="1" applyFont="1" applyFill="1">
      <alignment/>
      <protection/>
    </xf>
    <xf numFmtId="49" fontId="18" fillId="0" borderId="0" xfId="136" applyNumberFormat="1" applyFont="1" applyFill="1" applyAlignment="1">
      <alignment/>
      <protection/>
    </xf>
    <xf numFmtId="49" fontId="18" fillId="0" borderId="0" xfId="136" applyNumberFormat="1" applyFont="1" applyFill="1" applyAlignment="1">
      <alignment wrapText="1"/>
      <protection/>
    </xf>
    <xf numFmtId="49" fontId="18"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8" fillId="0" borderId="11" xfId="136" applyNumberFormat="1" applyFont="1" applyBorder="1" applyAlignment="1">
      <alignment horizontal="center"/>
      <protection/>
    </xf>
    <xf numFmtId="3" fontId="8" fillId="4" borderId="11" xfId="138" applyNumberFormat="1" applyFont="1" applyFill="1" applyBorder="1" applyAlignment="1">
      <alignment horizontal="center" vertical="center"/>
      <protection/>
    </xf>
    <xf numFmtId="3" fontId="38" fillId="24" borderId="11" xfId="136" applyNumberFormat="1" applyFont="1" applyFill="1" applyBorder="1" applyAlignment="1">
      <alignment horizontal="center" vertical="center"/>
      <protection/>
    </xf>
    <xf numFmtId="3" fontId="22" fillId="3" borderId="11" xfId="136" applyNumberFormat="1" applyFont="1" applyFill="1" applyBorder="1" applyAlignment="1">
      <alignment horizontal="center" vertical="center"/>
      <protection/>
    </xf>
    <xf numFmtId="3" fontId="40" fillId="3"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22" borderId="11" xfId="136" applyNumberFormat="1" applyFont="1" applyFill="1" applyBorder="1" applyAlignment="1">
      <alignment horizontal="center" vertical="center"/>
      <protection/>
    </xf>
    <xf numFmtId="3" fontId="12" fillId="4" borderId="11" xfId="138" applyNumberFormat="1" applyFont="1" applyFill="1" applyBorder="1" applyAlignment="1">
      <alignment horizontal="center" vertical="center"/>
      <protection/>
    </xf>
    <xf numFmtId="49" fontId="12" fillId="0" borderId="11" xfId="136" applyNumberFormat="1" applyFont="1" applyBorder="1" applyAlignment="1">
      <alignment horizontal="center" vertical="center"/>
      <protection/>
    </xf>
    <xf numFmtId="49" fontId="12" fillId="24" borderId="11" xfId="136" applyNumberFormat="1" applyFont="1" applyFill="1" applyBorder="1" applyAlignment="1">
      <alignment horizontal="left" vertical="center"/>
      <protection/>
    </xf>
    <xf numFmtId="3" fontId="8" fillId="24" borderId="11" xfId="136" applyNumberFormat="1" applyFont="1" applyFill="1" applyBorder="1" applyAlignment="1">
      <alignment horizontal="center" vertical="center"/>
      <protection/>
    </xf>
    <xf numFmtId="3" fontId="8" fillId="22" borderId="11" xfId="136" applyNumberFormat="1" applyFont="1" applyFill="1" applyBorder="1" applyAlignment="1">
      <alignment horizontal="center" vertical="center"/>
      <protection/>
    </xf>
    <xf numFmtId="49" fontId="8" fillId="0" borderId="14" xfId="136" applyNumberFormat="1" applyFont="1" applyBorder="1" applyAlignment="1">
      <alignment horizontal="center" vertical="center"/>
      <protection/>
    </xf>
    <xf numFmtId="49" fontId="0" fillId="0" borderId="0" xfId="136" applyNumberFormat="1" applyFont="1" applyAlignment="1">
      <alignment vertical="center"/>
      <protection/>
    </xf>
    <xf numFmtId="3" fontId="8" fillId="0" borderId="11" xfId="136" applyNumberFormat="1" applyFont="1" applyFill="1" applyBorder="1" applyAlignment="1">
      <alignment horizontal="center" vertical="center"/>
      <protection/>
    </xf>
    <xf numFmtId="3" fontId="8" fillId="24" borderId="11" xfId="138" applyNumberFormat="1" applyFont="1" applyFill="1" applyBorder="1" applyAlignment="1">
      <alignment horizontal="center" vertical="center"/>
      <protection/>
    </xf>
    <xf numFmtId="49" fontId="8" fillId="24" borderId="14" xfId="136" applyNumberFormat="1" applyFont="1" applyFill="1" applyBorder="1" applyAlignment="1">
      <alignment horizontal="center" vertical="center"/>
      <protection/>
    </xf>
    <xf numFmtId="9" fontId="25" fillId="0" borderId="0" xfId="147" applyFont="1" applyAlignment="1">
      <alignment vertical="center"/>
    </xf>
    <xf numFmtId="49" fontId="8" fillId="0" borderId="0" xfId="136" applyNumberFormat="1" applyFont="1" applyBorder="1" applyAlignment="1">
      <alignment horizontal="center"/>
      <protection/>
    </xf>
    <xf numFmtId="49" fontId="8" fillId="24"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8" fillId="24" borderId="10" xfId="138" applyNumberFormat="1" applyFont="1" applyFill="1" applyBorder="1" applyAlignment="1">
      <alignment horizontal="center" vertical="center"/>
      <protection/>
    </xf>
    <xf numFmtId="9" fontId="0" fillId="0" borderId="0" xfId="147" applyFont="1" applyAlignment="1">
      <alignment/>
    </xf>
    <xf numFmtId="49" fontId="34" fillId="0" borderId="0" xfId="136" applyNumberFormat="1" applyFont="1" applyBorder="1" applyAlignment="1">
      <alignment wrapText="1"/>
      <protection/>
    </xf>
    <xf numFmtId="3" fontId="8" fillId="24" borderId="0" xfId="138" applyNumberFormat="1" applyFont="1" applyFill="1" applyBorder="1" applyAlignment="1">
      <alignment horizontal="center" vertical="center"/>
      <protection/>
    </xf>
    <xf numFmtId="49" fontId="34" fillId="0" borderId="0" xfId="136" applyNumberFormat="1" applyFont="1" applyAlignment="1">
      <alignment wrapText="1"/>
      <protection/>
    </xf>
    <xf numFmtId="49" fontId="43" fillId="0" borderId="0" xfId="136" applyNumberFormat="1" applyFont="1">
      <alignment/>
      <protection/>
    </xf>
    <xf numFmtId="49" fontId="43" fillId="0" borderId="0" xfId="136" applyNumberFormat="1" applyFont="1" applyAlignment="1">
      <alignment wrapText="1"/>
      <protection/>
    </xf>
    <xf numFmtId="49" fontId="7" fillId="24" borderId="0" xfId="136" applyNumberFormat="1" applyFont="1" applyFill="1" applyAlignment="1">
      <alignment/>
      <protection/>
    </xf>
    <xf numFmtId="49" fontId="78" fillId="0" borderId="0" xfId="136" applyNumberFormat="1" applyFont="1">
      <alignment/>
      <protection/>
    </xf>
    <xf numFmtId="49" fontId="18" fillId="0" borderId="0" xfId="136" applyNumberFormat="1" applyFont="1" applyBorder="1" applyAlignment="1">
      <alignment wrapText="1"/>
      <protection/>
    </xf>
    <xf numFmtId="49" fontId="0" fillId="0" borderId="0" xfId="139" applyNumberFormat="1" applyFont="1" applyAlignment="1">
      <alignment horizontal="left"/>
      <protection/>
    </xf>
    <xf numFmtId="49" fontId="19" fillId="0" borderId="0" xfId="139" applyNumberFormat="1" applyFont="1" applyAlignment="1">
      <alignment wrapText="1"/>
      <protection/>
    </xf>
    <xf numFmtId="49" fontId="7" fillId="24" borderId="0" xfId="139" applyNumberFormat="1" applyFont="1" applyFill="1" applyBorder="1" applyAlignment="1">
      <alignment horizontal="left"/>
      <protection/>
    </xf>
    <xf numFmtId="49" fontId="0" fillId="24" borderId="0" xfId="139" applyNumberFormat="1" applyFont="1" applyFill="1" applyBorder="1" applyAlignment="1">
      <alignment horizontal="left"/>
      <protection/>
    </xf>
    <xf numFmtId="49" fontId="32" fillId="0" borderId="0" xfId="139" applyNumberFormat="1" applyFont="1">
      <alignment/>
      <protection/>
    </xf>
    <xf numFmtId="49" fontId="0" fillId="24" borderId="0" xfId="139" applyNumberFormat="1" applyFont="1" applyFill="1" applyBorder="1" applyAlignment="1">
      <alignment/>
      <protection/>
    </xf>
    <xf numFmtId="49" fontId="7"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23" fillId="0" borderId="13" xfId="139" applyNumberFormat="1" applyFont="1" applyBorder="1" applyAlignment="1">
      <alignment horizontal="left"/>
      <protection/>
    </xf>
    <xf numFmtId="49" fontId="7" fillId="0" borderId="13" xfId="139" applyNumberFormat="1" applyFont="1" applyBorder="1" applyAlignment="1">
      <alignment horizontal="left"/>
      <protection/>
    </xf>
    <xf numFmtId="49" fontId="32" fillId="0" borderId="0" xfId="139" applyNumberFormat="1" applyFont="1" applyFill="1">
      <alignment/>
      <protection/>
    </xf>
    <xf numFmtId="49" fontId="32" fillId="0" borderId="0" xfId="139" applyNumberFormat="1" applyFont="1" applyAlignment="1">
      <alignment vertical="center"/>
      <protection/>
    </xf>
    <xf numFmtId="49" fontId="11" fillId="24" borderId="11" xfId="139" applyNumberFormat="1" applyFont="1" applyFill="1" applyBorder="1" applyAlignment="1">
      <alignment horizontal="left" vertical="center"/>
      <protection/>
    </xf>
    <xf numFmtId="49" fontId="1" fillId="0" borderId="0" xfId="139" applyNumberFormat="1" applyFont="1">
      <alignment/>
      <protection/>
    </xf>
    <xf numFmtId="49" fontId="34" fillId="0" borderId="0" xfId="139" applyNumberFormat="1" applyFont="1" applyBorder="1" applyAlignment="1">
      <alignment/>
      <protection/>
    </xf>
    <xf numFmtId="49" fontId="85" fillId="0" borderId="0" xfId="139" applyNumberFormat="1" applyFont="1">
      <alignment/>
      <protection/>
    </xf>
    <xf numFmtId="49" fontId="30" fillId="0" borderId="0" xfId="139" applyNumberFormat="1" applyFont="1" applyBorder="1" applyAlignment="1">
      <alignment/>
      <protection/>
    </xf>
    <xf numFmtId="49" fontId="10" fillId="0" borderId="0" xfId="139" applyNumberFormat="1" applyFont="1">
      <alignment/>
      <protection/>
    </xf>
    <xf numFmtId="49" fontId="34" fillId="0" borderId="0" xfId="139" applyNumberFormat="1" applyFont="1" applyAlignment="1">
      <alignment horizontal="center"/>
      <protection/>
    </xf>
    <xf numFmtId="49" fontId="34" fillId="0" borderId="0" xfId="139" applyNumberFormat="1" applyFont="1">
      <alignment/>
      <protection/>
    </xf>
    <xf numFmtId="49" fontId="85" fillId="0" borderId="0" xfId="139" applyNumberFormat="1" applyFont="1" applyAlignment="1">
      <alignment horizontal="center"/>
      <protection/>
    </xf>
    <xf numFmtId="49" fontId="18" fillId="0" borderId="0" xfId="139" applyNumberFormat="1" applyFont="1" applyBorder="1" applyAlignment="1">
      <alignment wrapText="1"/>
      <protection/>
    </xf>
    <xf numFmtId="49" fontId="87" fillId="0" borderId="0" xfId="139" applyNumberFormat="1" applyFont="1">
      <alignment/>
      <protection/>
    </xf>
    <xf numFmtId="9" fontId="32" fillId="0" borderId="0" xfId="147" applyFont="1" applyAlignment="1">
      <alignment/>
    </xf>
    <xf numFmtId="3" fontId="0" fillId="24" borderId="0" xfId="139" applyNumberFormat="1" applyFont="1" applyFill="1" applyBorder="1" applyAlignment="1">
      <alignment/>
      <protection/>
    </xf>
    <xf numFmtId="0" fontId="32"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32" fillId="0" borderId="0" xfId="139" applyFont="1">
      <alignment/>
      <protection/>
    </xf>
    <xf numFmtId="0" fontId="11" fillId="0" borderId="11" xfId="139" applyFont="1" applyBorder="1" applyAlignment="1">
      <alignment horizontal="center" vertical="center"/>
      <protection/>
    </xf>
    <xf numFmtId="0" fontId="11" fillId="24" borderId="11" xfId="139" applyFont="1" applyFill="1" applyBorder="1" applyAlignment="1">
      <alignment horizontal="left" vertical="center"/>
      <protection/>
    </xf>
    <xf numFmtId="9" fontId="32" fillId="0" borderId="0" xfId="147" applyFont="1" applyAlignment="1">
      <alignment vertical="center"/>
    </xf>
    <xf numFmtId="0" fontId="10" fillId="0" borderId="14" xfId="139" applyFont="1" applyBorder="1" applyAlignment="1">
      <alignment horizontal="center" vertical="center"/>
      <protection/>
    </xf>
    <xf numFmtId="0" fontId="32" fillId="0" borderId="0" xfId="139" applyFont="1" applyAlignment="1">
      <alignment vertical="center"/>
      <protection/>
    </xf>
    <xf numFmtId="0" fontId="1" fillId="0" borderId="0" xfId="139" applyFont="1">
      <alignment/>
      <protection/>
    </xf>
    <xf numFmtId="0" fontId="30" fillId="0" borderId="0" xfId="139" applyFont="1" applyBorder="1" applyAlignment="1">
      <alignment horizontal="center" wrapText="1"/>
      <protection/>
    </xf>
    <xf numFmtId="0" fontId="34" fillId="0" borderId="0" xfId="139" applyFont="1" applyBorder="1" applyAlignment="1">
      <alignment wrapText="1"/>
      <protection/>
    </xf>
    <xf numFmtId="0" fontId="30" fillId="0" borderId="0" xfId="139" applyNumberFormat="1" applyFont="1" applyBorder="1" applyAlignment="1">
      <alignment/>
      <protection/>
    </xf>
    <xf numFmtId="0" fontId="85" fillId="0" borderId="0" xfId="139" applyFont="1">
      <alignment/>
      <protection/>
    </xf>
    <xf numFmtId="0" fontId="30" fillId="0" borderId="0" xfId="139" applyNumberFormat="1" applyFont="1" applyBorder="1" applyAlignment="1">
      <alignment horizontal="center"/>
      <protection/>
    </xf>
    <xf numFmtId="0" fontId="10" fillId="0" borderId="0" xfId="139" applyFont="1">
      <alignment/>
      <protection/>
    </xf>
    <xf numFmtId="0" fontId="34" fillId="0" borderId="0" xfId="139" applyFont="1">
      <alignment/>
      <protection/>
    </xf>
    <xf numFmtId="0" fontId="30" fillId="0" borderId="0" xfId="136" applyFont="1" applyAlignment="1">
      <alignment/>
      <protection/>
    </xf>
    <xf numFmtId="49" fontId="24" fillId="0" borderId="0" xfId="139" applyNumberFormat="1" applyFont="1">
      <alignment/>
      <protection/>
    </xf>
    <xf numFmtId="49" fontId="8" fillId="24" borderId="0" xfId="139" applyNumberFormat="1" applyFont="1" applyFill="1" applyBorder="1" applyAlignment="1">
      <alignment horizontal="left"/>
      <protection/>
    </xf>
    <xf numFmtId="49" fontId="8" fillId="0" borderId="0" xfId="139" applyNumberFormat="1" applyFont="1" applyBorder="1" applyAlignment="1">
      <alignment horizontal="left"/>
      <protection/>
    </xf>
    <xf numFmtId="49" fontId="0" fillId="0" borderId="13" xfId="139" applyNumberFormat="1" applyFont="1" applyBorder="1" applyAlignment="1">
      <alignment/>
      <protection/>
    </xf>
    <xf numFmtId="49" fontId="11" fillId="0" borderId="11" xfId="139" applyNumberFormat="1" applyFont="1" applyFill="1" applyBorder="1" applyAlignment="1">
      <alignment horizontal="center" vertical="center" wrapText="1"/>
      <protection/>
    </xf>
    <xf numFmtId="49" fontId="10" fillId="0" borderId="15" xfId="139" applyNumberFormat="1" applyFont="1" applyFill="1" applyBorder="1">
      <alignment/>
      <protection/>
    </xf>
    <xf numFmtId="49" fontId="10" fillId="0" borderId="0" xfId="139" applyNumberFormat="1" applyFont="1" applyFill="1">
      <alignment/>
      <protection/>
    </xf>
    <xf numFmtId="49" fontId="29" fillId="0" borderId="0" xfId="139" applyNumberFormat="1" applyFont="1" applyFill="1">
      <alignment/>
      <protection/>
    </xf>
    <xf numFmtId="49" fontId="11" fillId="0" borderId="16" xfId="139" applyNumberFormat="1" applyFont="1" applyFill="1" applyBorder="1" applyAlignment="1">
      <alignment horizontal="center" vertical="center" wrapText="1"/>
      <protection/>
    </xf>
    <xf numFmtId="49" fontId="24" fillId="0" borderId="11" xfId="139" applyNumberFormat="1" applyFont="1" applyFill="1" applyBorder="1" applyAlignment="1">
      <alignment horizontal="center" vertical="center"/>
      <protection/>
    </xf>
    <xf numFmtId="49" fontId="24" fillId="0" borderId="11" xfId="139" applyNumberFormat="1" applyFont="1" applyBorder="1" applyAlignment="1">
      <alignment horizontal="center" vertical="center"/>
      <protection/>
    </xf>
    <xf numFmtId="49" fontId="10" fillId="0" borderId="0" xfId="139" applyNumberFormat="1" applyFont="1" applyAlignment="1">
      <alignment vertical="center"/>
      <protection/>
    </xf>
    <xf numFmtId="3" fontId="35" fillId="3" borderId="11" xfId="139" applyNumberFormat="1" applyFont="1" applyFill="1" applyBorder="1" applyAlignment="1">
      <alignment horizontal="center" vertical="center"/>
      <protection/>
    </xf>
    <xf numFmtId="3" fontId="75" fillId="3" borderId="11" xfId="139" applyNumberFormat="1" applyFont="1" applyFill="1" applyBorder="1" applyAlignment="1">
      <alignment horizontal="center" vertical="center"/>
      <protection/>
    </xf>
    <xf numFmtId="3" fontId="35" fillId="4" borderId="11" xfId="139" applyNumberFormat="1" applyFont="1" applyFill="1" applyBorder="1" applyAlignment="1">
      <alignment horizontal="center" vertical="center"/>
      <protection/>
    </xf>
    <xf numFmtId="3" fontId="11" fillId="22" borderId="11" xfId="139" applyNumberFormat="1" applyFont="1" applyFill="1" applyBorder="1" applyAlignment="1">
      <alignment horizontal="center" vertical="center"/>
      <protection/>
    </xf>
    <xf numFmtId="49" fontId="11" fillId="0" borderId="11" xfId="139" applyNumberFormat="1" applyFont="1" applyBorder="1" applyAlignment="1">
      <alignment horizontal="center" vertical="center"/>
      <protection/>
    </xf>
    <xf numFmtId="3" fontId="10" fillId="24" borderId="11" xfId="139" applyNumberFormat="1" applyFont="1" applyFill="1" applyBorder="1" applyAlignment="1">
      <alignment horizontal="center" vertical="center"/>
      <protection/>
    </xf>
    <xf numFmtId="49" fontId="11" fillId="0" borderId="14" xfId="139" applyNumberFormat="1" applyFont="1" applyBorder="1" applyAlignment="1">
      <alignment horizontal="center" vertical="center"/>
      <protection/>
    </xf>
    <xf numFmtId="49" fontId="10" fillId="0" borderId="14" xfId="139" applyNumberFormat="1" applyFont="1" applyBorder="1" applyAlignment="1">
      <alignment horizontal="center" vertical="center"/>
      <protection/>
    </xf>
    <xf numFmtId="3" fontId="10" fillId="0" borderId="11" xfId="139" applyNumberFormat="1" applyFont="1" applyBorder="1" applyAlignment="1">
      <alignment horizontal="center" vertical="center"/>
      <protection/>
    </xf>
    <xf numFmtId="49" fontId="93" fillId="0" borderId="0" xfId="139" applyNumberFormat="1" applyFont="1">
      <alignment/>
      <protection/>
    </xf>
    <xf numFmtId="49" fontId="32" fillId="0" borderId="0" xfId="139" applyNumberFormat="1">
      <alignment/>
      <protection/>
    </xf>
    <xf numFmtId="49" fontId="34" fillId="0" borderId="0" xfId="139" applyNumberFormat="1" applyFont="1" applyBorder="1" applyAlignment="1">
      <alignment wrapText="1"/>
      <protection/>
    </xf>
    <xf numFmtId="49" fontId="26" fillId="0" borderId="0" xfId="139" applyNumberFormat="1" applyFont="1">
      <alignment/>
      <protection/>
    </xf>
    <xf numFmtId="49" fontId="37" fillId="0" borderId="0" xfId="139" applyNumberFormat="1" applyFont="1">
      <alignment/>
      <protection/>
    </xf>
    <xf numFmtId="49" fontId="37" fillId="0" borderId="0" xfId="139" applyNumberFormat="1" applyFont="1" applyAlignment="1">
      <alignment horizontal="center"/>
      <protection/>
    </xf>
    <xf numFmtId="0" fontId="8" fillId="0" borderId="0" xfId="139" applyNumberFormat="1" applyFont="1" applyAlignment="1">
      <alignment horizontal="left"/>
      <protection/>
    </xf>
    <xf numFmtId="0" fontId="10" fillId="0" borderId="0" xfId="139" applyFont="1" applyAlignment="1">
      <alignment/>
      <protection/>
    </xf>
    <xf numFmtId="3" fontId="10" fillId="0" borderId="0" xfId="139" applyNumberFormat="1" applyFont="1">
      <alignment/>
      <protection/>
    </xf>
    <xf numFmtId="0" fontId="12" fillId="0" borderId="0" xfId="139" applyFont="1" applyBorder="1" applyAlignment="1">
      <alignment/>
      <protection/>
    </xf>
    <xf numFmtId="0" fontId="32" fillId="0" borderId="15" xfId="139" applyFont="1" applyBorder="1">
      <alignment/>
      <protection/>
    </xf>
    <xf numFmtId="0" fontId="32" fillId="0" borderId="0" xfId="139" applyFont="1" applyBorder="1">
      <alignment/>
      <protection/>
    </xf>
    <xf numFmtId="0" fontId="17" fillId="0" borderId="11" xfId="139" applyFont="1" applyBorder="1" applyAlignment="1">
      <alignment horizontal="center" vertical="center" wrapText="1"/>
      <protection/>
    </xf>
    <xf numFmtId="0" fontId="24" fillId="0" borderId="14" xfId="139" applyFont="1" applyFill="1" applyBorder="1" applyAlignment="1">
      <alignment horizontal="center" vertical="center"/>
      <protection/>
    </xf>
    <xf numFmtId="0" fontId="24" fillId="0" borderId="11" xfId="139" applyFont="1" applyFill="1" applyBorder="1" applyAlignment="1">
      <alignment horizontal="center" vertical="center"/>
      <protection/>
    </xf>
    <xf numFmtId="0" fontId="24" fillId="0" borderId="11" xfId="139" applyFont="1" applyBorder="1" applyAlignment="1">
      <alignment horizontal="center" vertical="center"/>
      <protection/>
    </xf>
    <xf numFmtId="3" fontId="25" fillId="3" borderId="11" xfId="139" applyNumberFormat="1" applyFont="1" applyFill="1" applyBorder="1" applyAlignment="1">
      <alignment horizontal="center" vertical="center"/>
      <protection/>
    </xf>
    <xf numFmtId="3" fontId="41" fillId="3" borderId="11" xfId="139" applyNumberFormat="1" applyFont="1" applyFill="1" applyBorder="1" applyAlignment="1">
      <alignment horizontal="center" vertical="center"/>
      <protection/>
    </xf>
    <xf numFmtId="3" fontId="7" fillId="22" borderId="14" xfId="139" applyNumberFormat="1" applyFont="1" applyFill="1" applyBorder="1" applyAlignment="1">
      <alignment horizontal="center" vertical="center"/>
      <protection/>
    </xf>
    <xf numFmtId="3" fontId="0" fillId="25" borderId="14" xfId="139" applyNumberFormat="1" applyFont="1" applyFill="1" applyBorder="1" applyAlignment="1">
      <alignment horizontal="center" vertical="center"/>
      <protection/>
    </xf>
    <xf numFmtId="3" fontId="0" fillId="0" borderId="11" xfId="139" applyNumberFormat="1" applyFont="1" applyBorder="1" applyAlignment="1">
      <alignment horizontal="center" vertical="center"/>
      <protection/>
    </xf>
    <xf numFmtId="3" fontId="0" fillId="0" borderId="17" xfId="139" applyNumberFormat="1" applyFont="1" applyBorder="1" applyAlignment="1">
      <alignment horizontal="center" vertical="center"/>
      <protection/>
    </xf>
    <xf numFmtId="0" fontId="11" fillId="0" borderId="14" xfId="139" applyFont="1" applyBorder="1" applyAlignment="1">
      <alignment horizontal="center" vertical="center"/>
      <protection/>
    </xf>
    <xf numFmtId="3" fontId="0" fillId="22" borderId="14" xfId="139" applyNumberFormat="1" applyFont="1" applyFill="1" applyBorder="1" applyAlignment="1">
      <alignment horizontal="center" vertical="center"/>
      <protection/>
    </xf>
    <xf numFmtId="3" fontId="0" fillId="24" borderId="11" xfId="139" applyNumberFormat="1" applyFont="1" applyFill="1" applyBorder="1" applyAlignment="1">
      <alignment horizontal="center" vertical="center"/>
      <protection/>
    </xf>
    <xf numFmtId="3" fontId="0" fillId="24" borderId="17" xfId="139" applyNumberFormat="1" applyFont="1" applyFill="1" applyBorder="1" applyAlignment="1">
      <alignment horizontal="center" vertical="center"/>
      <protection/>
    </xf>
    <xf numFmtId="0" fontId="34" fillId="0" borderId="0" xfId="139" applyNumberFormat="1" applyFont="1" applyBorder="1" applyAlignment="1">
      <alignment/>
      <protection/>
    </xf>
    <xf numFmtId="0" fontId="94" fillId="0" borderId="0" xfId="139" applyFont="1">
      <alignment/>
      <protection/>
    </xf>
    <xf numFmtId="0" fontId="21" fillId="0" borderId="0" xfId="139" applyFont="1">
      <alignment/>
      <protection/>
    </xf>
    <xf numFmtId="0" fontId="33" fillId="0" borderId="0" xfId="139" applyFont="1">
      <alignment/>
      <protection/>
    </xf>
    <xf numFmtId="0" fontId="18" fillId="0" borderId="0" xfId="139" applyFont="1">
      <alignment/>
      <protection/>
    </xf>
    <xf numFmtId="49" fontId="18" fillId="0" borderId="0" xfId="139" applyNumberFormat="1" applyFont="1">
      <alignment/>
      <protection/>
    </xf>
    <xf numFmtId="0" fontId="87" fillId="0" borderId="0" xfId="139" applyFont="1">
      <alignment/>
      <protection/>
    </xf>
    <xf numFmtId="49" fontId="23" fillId="0" borderId="0" xfId="139" applyNumberFormat="1" applyFont="1" applyBorder="1" applyAlignment="1">
      <alignment/>
      <protection/>
    </xf>
    <xf numFmtId="49" fontId="32" fillId="0" borderId="0" xfId="139" applyNumberFormat="1" applyFont="1" applyAlignment="1">
      <alignment horizontal="center"/>
      <protection/>
    </xf>
    <xf numFmtId="3" fontId="24" fillId="24" borderId="13" xfId="139" applyNumberFormat="1" applyFont="1" applyFill="1" applyBorder="1" applyAlignment="1">
      <alignment horizontal="center"/>
      <protection/>
    </xf>
    <xf numFmtId="49" fontId="10" fillId="0" borderId="13" xfId="139" applyNumberFormat="1" applyFont="1" applyBorder="1" applyAlignment="1">
      <alignment/>
      <protection/>
    </xf>
    <xf numFmtId="49" fontId="32" fillId="0" borderId="0" xfId="139" applyNumberFormat="1" applyFill="1">
      <alignment/>
      <protection/>
    </xf>
    <xf numFmtId="49" fontId="32" fillId="0" borderId="0" xfId="139" applyNumberFormat="1" applyFill="1" applyAlignment="1">
      <alignment vertical="center" wrapText="1"/>
      <protection/>
    </xf>
    <xf numFmtId="49" fontId="32" fillId="0" borderId="0" xfId="139" applyNumberFormat="1" applyAlignment="1">
      <alignment vertical="center"/>
      <protection/>
    </xf>
    <xf numFmtId="3" fontId="10" fillId="22" borderId="11" xfId="139" applyNumberFormat="1" applyFont="1" applyFill="1" applyBorder="1" applyAlignment="1">
      <alignment horizontal="center" vertical="center"/>
      <protection/>
    </xf>
    <xf numFmtId="3" fontId="32" fillId="0" borderId="11" xfId="139" applyNumberFormat="1" applyFont="1" applyBorder="1" applyAlignment="1">
      <alignment horizontal="center" vertical="center"/>
      <protection/>
    </xf>
    <xf numFmtId="0" fontId="10" fillId="0" borderId="11" xfId="139" applyFont="1" applyBorder="1" applyAlignment="1">
      <alignment horizontal="center" vertical="center"/>
      <protection/>
    </xf>
    <xf numFmtId="3" fontId="10" fillId="0" borderId="11" xfId="139" applyNumberFormat="1" applyFont="1" applyFill="1" applyBorder="1" applyAlignment="1">
      <alignment horizontal="center" vertical="center"/>
      <protection/>
    </xf>
    <xf numFmtId="3" fontId="32" fillId="0" borderId="11" xfId="139" applyNumberFormat="1" applyFont="1" applyFill="1" applyBorder="1" applyAlignment="1">
      <alignment horizontal="center" vertical="center"/>
      <protection/>
    </xf>
    <xf numFmtId="49" fontId="32" fillId="0" borderId="0" xfId="139" applyNumberFormat="1" applyAlignment="1">
      <alignment horizontal="center"/>
      <protection/>
    </xf>
    <xf numFmtId="49" fontId="78" fillId="0" borderId="0" xfId="139" applyNumberFormat="1" applyFont="1" applyAlignment="1">
      <alignment horizontal="left"/>
      <protection/>
    </xf>
    <xf numFmtId="49" fontId="37" fillId="0" borderId="0" xfId="139" applyNumberFormat="1" applyFont="1" applyAlignment="1">
      <alignment/>
      <protection/>
    </xf>
    <xf numFmtId="49" fontId="7" fillId="24" borderId="0" xfId="139" applyNumberFormat="1" applyFont="1" applyFill="1" applyBorder="1" applyAlignment="1">
      <alignment/>
      <protection/>
    </xf>
    <xf numFmtId="49" fontId="7" fillId="0" borderId="0" xfId="139" applyNumberFormat="1" applyFont="1" applyAlignment="1">
      <alignment/>
      <protection/>
    </xf>
    <xf numFmtId="49" fontId="7" fillId="0" borderId="0" xfId="139" applyNumberFormat="1" applyFont="1" applyBorder="1" applyAlignment="1">
      <alignment/>
      <protection/>
    </xf>
    <xf numFmtId="49" fontId="11" fillId="0" borderId="13" xfId="139" applyNumberFormat="1" applyFont="1" applyBorder="1" applyAlignment="1">
      <alignment/>
      <protection/>
    </xf>
    <xf numFmtId="3" fontId="24" fillId="0" borderId="11" xfId="139" applyNumberFormat="1" applyFont="1" applyBorder="1" applyAlignment="1">
      <alignment horizontal="center" vertical="center"/>
      <protection/>
    </xf>
    <xf numFmtId="49" fontId="32" fillId="24" borderId="0" xfId="139" applyNumberFormat="1" applyFont="1" applyFill="1" applyAlignment="1">
      <alignment vertical="center"/>
      <protection/>
    </xf>
    <xf numFmtId="3" fontId="32" fillId="24" borderId="11" xfId="139" applyNumberFormat="1" applyFont="1" applyFill="1" applyBorder="1" applyAlignment="1">
      <alignment horizontal="center" vertical="center"/>
      <protection/>
    </xf>
    <xf numFmtId="3" fontId="97" fillId="0" borderId="11" xfId="139" applyNumberFormat="1" applyFont="1" applyBorder="1" applyAlignment="1">
      <alignment horizontal="center" vertical="center"/>
      <protection/>
    </xf>
    <xf numFmtId="0" fontId="10" fillId="0" borderId="10" xfId="139" applyFont="1" applyFill="1" applyBorder="1" applyAlignment="1">
      <alignment horizontal="center" vertical="center"/>
      <protection/>
    </xf>
    <xf numFmtId="49" fontId="11" fillId="0" borderId="10" xfId="136" applyNumberFormat="1" applyFont="1" applyFill="1" applyBorder="1" applyAlignment="1">
      <alignment horizontal="left" vertical="center"/>
      <protection/>
    </xf>
    <xf numFmtId="3" fontId="10" fillId="0" borderId="10" xfId="139" applyNumberFormat="1" applyFont="1" applyFill="1" applyBorder="1" applyAlignment="1">
      <alignment horizontal="center" vertical="center"/>
      <protection/>
    </xf>
    <xf numFmtId="3" fontId="24" fillId="0" borderId="10" xfId="139" applyNumberFormat="1" applyFont="1" applyFill="1" applyBorder="1" applyAlignment="1">
      <alignment horizontal="center" vertical="center"/>
      <protection/>
    </xf>
    <xf numFmtId="3" fontId="32" fillId="0" borderId="10" xfId="139" applyNumberFormat="1" applyFont="1" applyFill="1" applyBorder="1" applyAlignment="1">
      <alignment vertical="center"/>
      <protection/>
    </xf>
    <xf numFmtId="3" fontId="98" fillId="0" borderId="10" xfId="139" applyNumberFormat="1" applyFont="1" applyFill="1" applyBorder="1" applyAlignment="1">
      <alignment vertical="center"/>
      <protection/>
    </xf>
    <xf numFmtId="49" fontId="37" fillId="0" borderId="0" xfId="139" applyNumberFormat="1" applyFont="1" applyBorder="1" applyAlignment="1">
      <alignment/>
      <protection/>
    </xf>
    <xf numFmtId="49" fontId="34" fillId="0" borderId="0" xfId="139" applyNumberFormat="1" applyFont="1" applyBorder="1" applyAlignment="1">
      <alignment horizontal="center"/>
      <protection/>
    </xf>
    <xf numFmtId="49" fontId="34" fillId="0" borderId="0" xfId="139" applyNumberFormat="1" applyFont="1" applyAlignment="1">
      <alignment/>
      <protection/>
    </xf>
    <xf numFmtId="0" fontId="10" fillId="24" borderId="0" xfId="139" applyFont="1" applyFill="1" applyBorder="1" applyAlignment="1">
      <alignment/>
      <protection/>
    </xf>
    <xf numFmtId="49" fontId="99" fillId="0" borderId="0" xfId="139" applyNumberFormat="1" applyFont="1">
      <alignment/>
      <protection/>
    </xf>
    <xf numFmtId="49" fontId="100" fillId="0" borderId="0" xfId="139" applyNumberFormat="1" applyFont="1">
      <alignment/>
      <protection/>
    </xf>
    <xf numFmtId="49" fontId="101" fillId="0" borderId="0" xfId="139" applyNumberFormat="1" applyFont="1" applyAlignment="1">
      <alignment horizontal="center"/>
      <protection/>
    </xf>
    <xf numFmtId="49" fontId="30" fillId="24" borderId="0" xfId="136" applyNumberFormat="1" applyFont="1" applyFill="1" applyAlignment="1">
      <alignment/>
      <protection/>
    </xf>
    <xf numFmtId="49" fontId="86" fillId="0" borderId="0" xfId="139" applyNumberFormat="1" applyFont="1">
      <alignment/>
      <protection/>
    </xf>
    <xf numFmtId="49" fontId="37" fillId="0" borderId="0" xfId="139" applyNumberFormat="1" applyFont="1" applyBorder="1" applyAlignment="1">
      <alignment wrapText="1"/>
      <protection/>
    </xf>
    <xf numFmtId="49" fontId="89" fillId="0" borderId="0" xfId="139" applyNumberFormat="1" applyFont="1">
      <alignment/>
      <protection/>
    </xf>
    <xf numFmtId="49" fontId="84" fillId="0" borderId="0" xfId="139" applyNumberFormat="1" applyFont="1">
      <alignment/>
      <protection/>
    </xf>
    <xf numFmtId="49" fontId="19"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7" fillId="0" borderId="0" xfId="139" applyNumberFormat="1" applyFont="1" applyFill="1" applyBorder="1" applyAlignment="1">
      <alignment/>
      <protection/>
    </xf>
    <xf numFmtId="49" fontId="102" fillId="0" borderId="0" xfId="139" applyNumberFormat="1" applyFont="1" applyFill="1">
      <alignment/>
      <protection/>
    </xf>
    <xf numFmtId="49" fontId="32" fillId="0" borderId="0" xfId="139" applyNumberFormat="1" applyFont="1" applyFill="1" applyAlignment="1">
      <alignment horizontal="center"/>
      <protection/>
    </xf>
    <xf numFmtId="49" fontId="24" fillId="0" borderId="0" xfId="139" applyNumberFormat="1" applyFont="1" applyFill="1" applyBorder="1" applyAlignment="1">
      <alignment/>
      <protection/>
    </xf>
    <xf numFmtId="49" fontId="11" fillId="0" borderId="0" xfId="139" applyNumberFormat="1" applyFont="1" applyFill="1" applyBorder="1" applyAlignment="1">
      <alignment/>
      <protection/>
    </xf>
    <xf numFmtId="49" fontId="88" fillId="0" borderId="0" xfId="139" applyNumberFormat="1" applyFont="1" applyFill="1">
      <alignment/>
      <protection/>
    </xf>
    <xf numFmtId="49" fontId="88" fillId="0" borderId="0" xfId="139" applyNumberFormat="1" applyFont="1" applyFill="1" applyAlignment="1">
      <alignment/>
      <protection/>
    </xf>
    <xf numFmtId="49" fontId="24" fillId="0" borderId="18" xfId="139" applyNumberFormat="1" applyFont="1" applyFill="1" applyBorder="1" applyAlignment="1">
      <alignment horizontal="center" vertical="center"/>
      <protection/>
    </xf>
    <xf numFmtId="3" fontId="11" fillId="22" borderId="18" xfId="139" applyNumberFormat="1" applyFont="1" applyFill="1" applyBorder="1" applyAlignment="1">
      <alignment horizontal="center" vertical="center"/>
      <protection/>
    </xf>
    <xf numFmtId="3" fontId="11" fillId="22" borderId="14" xfId="139" applyNumberFormat="1" applyFont="1" applyFill="1" applyBorder="1" applyAlignment="1">
      <alignment horizontal="center" vertical="center"/>
      <protection/>
    </xf>
    <xf numFmtId="49" fontId="7" fillId="0" borderId="0" xfId="139" applyNumberFormat="1" applyFont="1" applyAlignment="1">
      <alignment horizontal="center"/>
      <protection/>
    </xf>
    <xf numFmtId="49" fontId="30" fillId="0" borderId="0" xfId="139" applyNumberFormat="1" applyFont="1">
      <alignment/>
      <protection/>
    </xf>
    <xf numFmtId="49" fontId="7" fillId="0" borderId="0" xfId="139" applyNumberFormat="1" applyFont="1">
      <alignment/>
      <protection/>
    </xf>
    <xf numFmtId="49" fontId="34" fillId="0" borderId="0" xfId="139" applyNumberFormat="1" applyFont="1">
      <alignment/>
      <protection/>
    </xf>
    <xf numFmtId="3" fontId="7" fillId="24" borderId="0" xfId="139" applyNumberFormat="1" applyFont="1" applyFill="1" applyBorder="1" applyAlignment="1">
      <alignment/>
      <protection/>
    </xf>
    <xf numFmtId="0" fontId="7" fillId="0" borderId="0" xfId="139" applyFont="1">
      <alignment/>
      <protection/>
    </xf>
    <xf numFmtId="0" fontId="8" fillId="0" borderId="0" xfId="139" applyFont="1" applyBorder="1" applyAlignment="1">
      <alignment horizontal="left"/>
      <protection/>
    </xf>
    <xf numFmtId="3" fontId="0" fillId="0" borderId="0" xfId="139" applyNumberFormat="1" applyFont="1" applyAlignment="1">
      <alignment horizontal="left"/>
      <protection/>
    </xf>
    <xf numFmtId="0" fontId="18" fillId="0" borderId="0" xfId="139" applyFont="1" applyBorder="1" applyAlignment="1">
      <alignment/>
      <protection/>
    </xf>
    <xf numFmtId="0" fontId="12" fillId="0" borderId="11" xfId="139" applyFont="1" applyFill="1" applyBorder="1" applyAlignment="1">
      <alignment horizontal="center" vertical="center" wrapText="1"/>
      <protection/>
    </xf>
    <xf numFmtId="0" fontId="7" fillId="0" borderId="0" xfId="139" applyFont="1" applyFill="1" applyBorder="1">
      <alignment/>
      <protection/>
    </xf>
    <xf numFmtId="0" fontId="7" fillId="0" borderId="0" xfId="139" applyFont="1" applyFill="1">
      <alignment/>
      <protection/>
    </xf>
    <xf numFmtId="3" fontId="23" fillId="0" borderId="11" xfId="139" applyNumberFormat="1" applyFont="1" applyBorder="1" applyAlignment="1">
      <alignment horizontal="center" vertical="center"/>
      <protection/>
    </xf>
    <xf numFmtId="0" fontId="0" fillId="0" borderId="0" xfId="139" applyFont="1" applyAlignment="1">
      <alignment horizontal="center" vertical="center"/>
      <protection/>
    </xf>
    <xf numFmtId="3" fontId="8" fillId="22" borderId="11" xfId="139" applyNumberFormat="1" applyFont="1" applyFill="1" applyBorder="1" applyAlignment="1">
      <alignment horizontal="center" vertical="center"/>
      <protection/>
    </xf>
    <xf numFmtId="0" fontId="7" fillId="0" borderId="0" xfId="139" applyFont="1" applyAlignment="1">
      <alignment vertical="center"/>
      <protection/>
    </xf>
    <xf numFmtId="9" fontId="7" fillId="0" borderId="0" xfId="147" applyFont="1" applyAlignment="1">
      <alignment vertical="center"/>
    </xf>
    <xf numFmtId="0" fontId="7" fillId="0" borderId="0" xfId="139" applyFont="1" applyAlignment="1">
      <alignment horizontal="center"/>
      <protection/>
    </xf>
    <xf numFmtId="0" fontId="30" fillId="0" borderId="0" xfId="139" applyFont="1">
      <alignment/>
      <protection/>
    </xf>
    <xf numFmtId="0" fontId="78" fillId="0" borderId="0" xfId="139" applyFont="1" applyAlignment="1">
      <alignment horizontal="center"/>
      <protection/>
    </xf>
    <xf numFmtId="49" fontId="58" fillId="0" borderId="0" xfId="139" applyNumberFormat="1" applyFont="1">
      <alignment/>
      <protection/>
    </xf>
    <xf numFmtId="49" fontId="103" fillId="0" borderId="0" xfId="139" applyNumberFormat="1" applyFont="1" applyBorder="1" applyAlignment="1">
      <alignment wrapText="1"/>
      <protection/>
    </xf>
    <xf numFmtId="0" fontId="37" fillId="0" borderId="0" xfId="139" applyFont="1">
      <alignment/>
      <protection/>
    </xf>
    <xf numFmtId="49" fontId="0" fillId="24" borderId="19" xfId="0" applyNumberFormat="1" applyFont="1" applyFill="1" applyBorder="1" applyAlignment="1">
      <alignment/>
    </xf>
    <xf numFmtId="49" fontId="0" fillId="24" borderId="19" xfId="0" applyNumberFormat="1" applyFont="1" applyFill="1" applyBorder="1" applyAlignment="1">
      <alignment/>
    </xf>
    <xf numFmtId="49" fontId="1" fillId="24" borderId="19" xfId="0" applyNumberFormat="1" applyFont="1" applyFill="1" applyBorder="1" applyAlignment="1">
      <alignment/>
    </xf>
    <xf numFmtId="49" fontId="6" fillId="24" borderId="19" xfId="0" applyNumberFormat="1" applyFont="1" applyFill="1" applyBorder="1" applyAlignment="1">
      <alignment/>
    </xf>
    <xf numFmtId="3" fontId="8" fillId="24" borderId="16" xfId="135" applyNumberFormat="1" applyFont="1" applyFill="1" applyBorder="1" applyAlignment="1" applyProtection="1">
      <alignment horizontal="center" vertical="center"/>
      <protection/>
    </xf>
    <xf numFmtId="49" fontId="0" fillId="24" borderId="20" xfId="0" applyNumberFormat="1" applyFont="1" applyFill="1" applyBorder="1" applyAlignment="1">
      <alignment/>
    </xf>
    <xf numFmtId="49" fontId="0" fillId="24" borderId="21" xfId="0" applyNumberFormat="1" applyFont="1" applyFill="1" applyBorder="1" applyAlignment="1">
      <alignment/>
    </xf>
    <xf numFmtId="3" fontId="8" fillId="24" borderId="19" xfId="135" applyNumberFormat="1" applyFont="1" applyFill="1" applyBorder="1" applyAlignment="1" applyProtection="1">
      <alignment horizontal="center" vertical="center"/>
      <protection/>
    </xf>
    <xf numFmtId="49" fontId="0" fillId="24" borderId="22" xfId="0" applyNumberFormat="1" applyFont="1" applyFill="1" applyBorder="1" applyAlignment="1">
      <alignment/>
    </xf>
    <xf numFmtId="49" fontId="0" fillId="24" borderId="22" xfId="0" applyNumberFormat="1" applyFont="1" applyFill="1" applyBorder="1" applyAlignment="1">
      <alignment/>
    </xf>
    <xf numFmtId="49" fontId="0" fillId="24" borderId="23" xfId="0" applyNumberFormat="1" applyFont="1" applyFill="1" applyBorder="1" applyAlignment="1">
      <alignment/>
    </xf>
    <xf numFmtId="3" fontId="8" fillId="24" borderId="20" xfId="135" applyNumberFormat="1" applyFont="1" applyFill="1" applyBorder="1" applyAlignment="1" applyProtection="1">
      <alignment horizontal="center" vertical="center"/>
      <protection/>
    </xf>
    <xf numFmtId="49" fontId="0" fillId="24" borderId="24" xfId="0" applyNumberFormat="1" applyFont="1" applyFill="1" applyBorder="1" applyAlignment="1">
      <alignment/>
    </xf>
    <xf numFmtId="49" fontId="34" fillId="24" borderId="11" xfId="0" applyNumberFormat="1" applyFont="1" applyFill="1" applyBorder="1" applyAlignment="1">
      <alignment/>
    </xf>
    <xf numFmtId="3" fontId="34" fillId="24" borderId="11" xfId="135" applyNumberFormat="1" applyFont="1" applyFill="1" applyBorder="1" applyAlignment="1" applyProtection="1">
      <alignment horizontal="center" vertical="center"/>
      <protection/>
    </xf>
    <xf numFmtId="49" fontId="37" fillId="24" borderId="11" xfId="0" applyNumberFormat="1" applyFont="1" applyFill="1" applyBorder="1" applyAlignment="1">
      <alignment/>
    </xf>
    <xf numFmtId="3" fontId="37" fillId="24" borderId="11" xfId="135" applyNumberFormat="1" applyFont="1" applyFill="1" applyBorder="1" applyAlignment="1" applyProtection="1">
      <alignment horizontal="center" vertical="center"/>
      <protection/>
    </xf>
    <xf numFmtId="49" fontId="34" fillId="24" borderId="11" xfId="0" applyNumberFormat="1" applyFont="1" applyFill="1" applyBorder="1" applyAlignment="1">
      <alignment/>
    </xf>
    <xf numFmtId="49" fontId="58" fillId="24" borderId="11" xfId="0" applyNumberFormat="1" applyFont="1" applyFill="1" applyBorder="1" applyAlignment="1">
      <alignment/>
    </xf>
    <xf numFmtId="3" fontId="58" fillId="24" borderId="11" xfId="135" applyNumberFormat="1" applyFont="1" applyFill="1" applyBorder="1" applyAlignment="1" applyProtection="1">
      <alignment horizontal="center" vertical="center"/>
      <protection/>
    </xf>
    <xf numFmtId="10" fontId="34" fillId="0" borderId="11" xfId="131" applyNumberFormat="1" applyFont="1" applyFill="1" applyBorder="1" applyAlignment="1">
      <alignment horizontal="center" vertical="center"/>
      <protection/>
    </xf>
    <xf numFmtId="10" fontId="58" fillId="0" borderId="11" xfId="131" applyNumberFormat="1" applyFont="1" applyFill="1" applyBorder="1" applyAlignment="1">
      <alignment horizontal="center" vertical="center"/>
      <protection/>
    </xf>
    <xf numFmtId="49" fontId="0" fillId="24" borderId="11" xfId="0" applyNumberFormat="1" applyFill="1" applyBorder="1" applyAlignment="1">
      <alignment/>
    </xf>
    <xf numFmtId="49" fontId="25" fillId="24" borderId="11" xfId="0" applyNumberFormat="1" applyFont="1" applyFill="1" applyBorder="1" applyAlignment="1">
      <alignment/>
    </xf>
    <xf numFmtId="49" fontId="30" fillId="24" borderId="25" xfId="0" applyNumberFormat="1" applyFont="1" applyFill="1" applyBorder="1" applyAlignment="1">
      <alignment/>
    </xf>
    <xf numFmtId="49" fontId="30" fillId="24" borderId="23" xfId="0" applyNumberFormat="1" applyFont="1" applyFill="1" applyBorder="1" applyAlignment="1">
      <alignment/>
    </xf>
    <xf numFmtId="49" fontId="63" fillId="24" borderId="11" xfId="0" applyNumberFormat="1" applyFont="1" applyFill="1" applyBorder="1" applyAlignment="1">
      <alignment/>
    </xf>
    <xf numFmtId="10" fontId="63" fillId="0" borderId="11" xfId="131" applyNumberFormat="1" applyFont="1" applyFill="1" applyBorder="1" applyAlignment="1">
      <alignment horizontal="center" vertical="center"/>
      <protection/>
    </xf>
    <xf numFmtId="3" fontId="63" fillId="24" borderId="11" xfId="135" applyNumberFormat="1" applyFont="1" applyFill="1" applyBorder="1" applyAlignment="1" applyProtection="1">
      <alignment horizontal="center" vertical="center"/>
      <protection/>
    </xf>
    <xf numFmtId="49" fontId="106" fillId="24" borderId="11" xfId="0" applyNumberFormat="1" applyFont="1" applyFill="1" applyBorder="1" applyAlignment="1">
      <alignment/>
    </xf>
    <xf numFmtId="49" fontId="63" fillId="24" borderId="26" xfId="0" applyNumberFormat="1" applyFont="1" applyFill="1" applyBorder="1" applyAlignment="1">
      <alignment/>
    </xf>
    <xf numFmtId="3" fontId="63" fillId="24" borderId="10" xfId="135" applyNumberFormat="1" applyFont="1" applyFill="1" applyBorder="1" applyAlignment="1" applyProtection="1">
      <alignment horizontal="center" vertical="center"/>
      <protection/>
    </xf>
    <xf numFmtId="10" fontId="63" fillId="0" borderId="27" xfId="131" applyNumberFormat="1" applyFont="1" applyFill="1" applyBorder="1" applyAlignment="1">
      <alignment horizontal="center" vertical="center"/>
      <protection/>
    </xf>
    <xf numFmtId="49" fontId="0" fillId="24" borderId="18" xfId="0" applyNumberFormat="1" applyFont="1" applyFill="1" applyBorder="1" applyAlignment="1">
      <alignment/>
    </xf>
    <xf numFmtId="3" fontId="8" fillId="24" borderId="13" xfId="135" applyNumberFormat="1" applyFont="1" applyFill="1" applyBorder="1" applyAlignment="1" applyProtection="1">
      <alignment horizontal="center" vertical="center"/>
      <protection/>
    </xf>
    <xf numFmtId="3" fontId="8" fillId="24" borderId="28" xfId="135" applyNumberFormat="1" applyFont="1" applyFill="1" applyBorder="1" applyAlignment="1" applyProtection="1">
      <alignment horizontal="center" vertical="center"/>
      <protection/>
    </xf>
    <xf numFmtId="49" fontId="41" fillId="24" borderId="11" xfId="0" applyNumberFormat="1" applyFont="1" applyFill="1" applyBorder="1" applyAlignment="1">
      <alignment/>
    </xf>
    <xf numFmtId="49" fontId="30" fillId="0" borderId="17"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left"/>
    </xf>
    <xf numFmtId="10" fontId="7" fillId="0" borderId="11" xfId="131" applyNumberFormat="1" applyFont="1" applyFill="1" applyBorder="1" applyAlignment="1">
      <alignment horizontal="right" vertical="center"/>
      <protection/>
    </xf>
    <xf numFmtId="49" fontId="7" fillId="4" borderId="11" xfId="0" applyNumberFormat="1" applyFont="1" applyFill="1" applyBorder="1" applyAlignment="1">
      <alignment horizontal="center"/>
    </xf>
    <xf numFmtId="49" fontId="7" fillId="4" borderId="11" xfId="0" applyNumberFormat="1" applyFont="1" applyFill="1" applyBorder="1" applyAlignment="1">
      <alignment/>
    </xf>
    <xf numFmtId="49" fontId="10" fillId="0" borderId="17" xfId="0" applyNumberFormat="1" applyFont="1" applyBorder="1" applyAlignment="1">
      <alignment horizontal="center"/>
    </xf>
    <xf numFmtId="3" fontId="12" fillId="4" borderId="17" xfId="135" applyNumberFormat="1" applyFont="1" applyFill="1" applyBorder="1" applyAlignment="1" applyProtection="1">
      <alignment horizontal="center" vertical="center"/>
      <protection/>
    </xf>
    <xf numFmtId="3" fontId="8" fillId="24" borderId="17" xfId="135"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11" xfId="135" applyNumberFormat="1" applyFont="1" applyFill="1" applyBorder="1" applyAlignment="1" applyProtection="1">
      <alignment horizontal="center" vertical="center"/>
      <protection/>
    </xf>
    <xf numFmtId="49" fontId="34" fillId="0" borderId="0" xfId="0" applyNumberFormat="1" applyFont="1" applyAlignment="1">
      <alignment/>
    </xf>
    <xf numFmtId="3" fontId="8" fillId="0" borderId="11" xfId="135"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11" xfId="131"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14" xfId="0" applyNumberFormat="1" applyFont="1" applyFill="1" applyBorder="1" applyAlignment="1">
      <alignment horizontal="center" vertical="center"/>
    </xf>
    <xf numFmtId="2" fontId="11" fillId="0" borderId="14" xfId="0" applyNumberFormat="1" applyFont="1" applyFill="1" applyBorder="1" applyAlignment="1">
      <alignment horizontal="left"/>
    </xf>
    <xf numFmtId="3" fontId="8" fillId="0" borderId="0" xfId="135" applyNumberFormat="1" applyFont="1" applyFill="1" applyBorder="1" applyAlignment="1" applyProtection="1">
      <alignment horizontal="center" vertical="center"/>
      <protection/>
    </xf>
    <xf numFmtId="49" fontId="29" fillId="0" borderId="11" xfId="0" applyNumberFormat="1" applyFont="1" applyFill="1" applyBorder="1" applyAlignment="1">
      <alignment horizontal="center" vertical="center"/>
    </xf>
    <xf numFmtId="1" fontId="10" fillId="0" borderId="11" xfId="0" applyNumberFormat="1" applyFont="1" applyFill="1" applyBorder="1" applyAlignment="1">
      <alignment horizontal="left"/>
    </xf>
    <xf numFmtId="1" fontId="11" fillId="0" borderId="17" xfId="0" applyNumberFormat="1" applyFont="1" applyFill="1" applyBorder="1" applyAlignment="1">
      <alignment horizontal="left"/>
    </xf>
    <xf numFmtId="2" fontId="10"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10" fillId="0" borderId="11"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16"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17" xfId="0" applyNumberFormat="1" applyFont="1" applyFill="1" applyBorder="1" applyAlignment="1">
      <alignment horizontal="center" vertical="center" wrapText="1"/>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11" xfId="131"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12"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17"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0"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wrapText="1"/>
    </xf>
    <xf numFmtId="49" fontId="18" fillId="0" borderId="11" xfId="0" applyNumberFormat="1" applyFont="1" applyFill="1" applyBorder="1" applyAlignment="1" applyProtection="1">
      <alignment horizontal="center" vertical="center"/>
      <protection/>
    </xf>
    <xf numFmtId="49" fontId="18" fillId="0" borderId="29"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11" xfId="0" applyNumberFormat="1" applyFont="1" applyFill="1" applyBorder="1" applyAlignment="1" applyProtection="1">
      <alignment horizontal="center" vertical="center"/>
      <protection/>
    </xf>
    <xf numFmtId="49" fontId="36" fillId="0" borderId="29" xfId="0"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1" xfId="0" applyNumberFormat="1" applyFont="1" applyFill="1" applyBorder="1" applyAlignment="1">
      <alignment/>
    </xf>
    <xf numFmtId="49" fontId="30" fillId="0" borderId="11" xfId="0" applyNumberFormat="1" applyFont="1" applyBorder="1" applyAlignment="1">
      <alignment horizontal="center"/>
    </xf>
    <xf numFmtId="1" fontId="29" fillId="0" borderId="16" xfId="0" applyNumberFormat="1" applyFont="1" applyFill="1" applyBorder="1" applyAlignment="1">
      <alignment horizontal="center" vertical="center"/>
    </xf>
    <xf numFmtId="49" fontId="17" fillId="0" borderId="14" xfId="0" applyNumberFormat="1" applyFont="1" applyFill="1" applyBorder="1" applyAlignment="1">
      <alignment horizontal="center"/>
    </xf>
    <xf numFmtId="49" fontId="29" fillId="0" borderId="11" xfId="0" applyNumberFormat="1" applyFont="1" applyFill="1" applyBorder="1" applyAlignment="1">
      <alignment horizontal="center"/>
    </xf>
    <xf numFmtId="49" fontId="17" fillId="0" borderId="11" xfId="0" applyNumberFormat="1" applyFont="1" applyFill="1" applyBorder="1" applyAlignment="1">
      <alignment horizontal="center"/>
    </xf>
    <xf numFmtId="0" fontId="0" fillId="0" borderId="11" xfId="0" applyBorder="1" applyAlignment="1">
      <alignment/>
    </xf>
    <xf numFmtId="0" fontId="0" fillId="26" borderId="11" xfId="0" applyFill="1" applyBorder="1" applyAlignment="1">
      <alignment/>
    </xf>
    <xf numFmtId="0" fontId="0" fillId="0" borderId="30" xfId="0" applyFill="1" applyBorder="1" applyAlignment="1">
      <alignment/>
    </xf>
    <xf numFmtId="1" fontId="29" fillId="0" borderId="11" xfId="0" applyNumberFormat="1" applyFont="1" applyFill="1" applyBorder="1" applyAlignment="1">
      <alignment horizontal="center" vertical="center"/>
    </xf>
    <xf numFmtId="2" fontId="8" fillId="0" borderId="11" xfId="0" applyNumberFormat="1" applyFont="1" applyBorder="1" applyAlignment="1">
      <alignment horizontal="left" vertical="center" wrapText="1"/>
    </xf>
    <xf numFmtId="49" fontId="8" fillId="0" borderId="11" xfId="0" applyNumberFormat="1" applyFont="1" applyBorder="1" applyAlignment="1">
      <alignment wrapText="1"/>
    </xf>
    <xf numFmtId="0" fontId="12" fillId="0" borderId="12" xfId="0" applyNumberFormat="1" applyFont="1" applyFill="1" applyBorder="1" applyAlignment="1">
      <alignment horizontal="center" vertical="center" wrapText="1"/>
    </xf>
    <xf numFmtId="49" fontId="0" fillId="0" borderId="0" xfId="0" applyNumberFormat="1" applyFill="1" applyBorder="1" applyAlignment="1">
      <alignment/>
    </xf>
    <xf numFmtId="0" fontId="25" fillId="26" borderId="11" xfId="0" applyFont="1" applyFill="1" applyBorder="1" applyAlignment="1">
      <alignment/>
    </xf>
    <xf numFmtId="0" fontId="0" fillId="26" borderId="30" xfId="0" applyFont="1" applyFill="1" applyBorder="1" applyAlignment="1">
      <alignment/>
    </xf>
    <xf numFmtId="0" fontId="0" fillId="26" borderId="11" xfId="0" applyFont="1" applyFill="1" applyBorder="1" applyAlignment="1">
      <alignment/>
    </xf>
    <xf numFmtId="2" fontId="8" fillId="0" borderId="12" xfId="0" applyNumberFormat="1" applyFont="1" applyFill="1" applyBorder="1" applyAlignment="1">
      <alignment horizontal="center" vertical="center" wrapText="1"/>
    </xf>
    <xf numFmtId="2" fontId="8" fillId="0" borderId="11" xfId="0" applyNumberFormat="1" applyFont="1" applyFill="1" applyBorder="1" applyAlignment="1">
      <alignment horizontal="center" vertical="center" wrapText="1"/>
    </xf>
    <xf numFmtId="49" fontId="8" fillId="0" borderId="0" xfId="137" applyNumberFormat="1" applyFont="1" applyFill="1" applyBorder="1" applyAlignment="1">
      <alignment horizontal="left" vertical="center"/>
      <protection/>
    </xf>
    <xf numFmtId="49" fontId="0" fillId="0" borderId="0" xfId="137" applyNumberFormat="1" applyFont="1" applyFill="1">
      <alignment/>
      <protection/>
    </xf>
    <xf numFmtId="49" fontId="0" fillId="0" borderId="0" xfId="137" applyNumberFormat="1" applyFont="1" applyFill="1" applyAlignment="1">
      <alignment horizontal="left"/>
      <protection/>
    </xf>
    <xf numFmtId="49" fontId="20" fillId="0" borderId="0" xfId="137" applyNumberFormat="1" applyFont="1" applyFill="1" applyAlignment="1">
      <alignment/>
      <protection/>
    </xf>
    <xf numFmtId="49" fontId="23" fillId="0" borderId="0" xfId="137" applyNumberFormat="1" applyFont="1" applyFill="1" applyAlignment="1">
      <alignment horizontal="left"/>
      <protection/>
    </xf>
    <xf numFmtId="49" fontId="0" fillId="0" borderId="0" xfId="137" applyNumberFormat="1" applyFont="1" applyFill="1" applyAlignment="1">
      <alignment/>
      <protection/>
    </xf>
    <xf numFmtId="49" fontId="0" fillId="0" borderId="0" xfId="137" applyNumberFormat="1" applyFont="1" applyFill="1" applyAlignment="1">
      <alignment horizontal="center"/>
      <protection/>
    </xf>
    <xf numFmtId="49" fontId="18" fillId="0" borderId="13" xfId="137" applyNumberFormat="1" applyFont="1" applyFill="1" applyBorder="1" applyAlignment="1">
      <alignment horizontal="left" vertical="center"/>
      <protection/>
    </xf>
    <xf numFmtId="49" fontId="60" fillId="0" borderId="11" xfId="137" applyNumberFormat="1" applyFont="1" applyFill="1" applyBorder="1" applyAlignment="1">
      <alignment horizontal="center" vertical="center" wrapText="1"/>
      <protection/>
    </xf>
    <xf numFmtId="49" fontId="0" fillId="0" borderId="0" xfId="137" applyNumberFormat="1" applyFont="1" applyFill="1" applyAlignment="1">
      <alignment vertical="center"/>
      <protection/>
    </xf>
    <xf numFmtId="9" fontId="0" fillId="0" borderId="0" xfId="150" applyFont="1" applyFill="1" applyAlignment="1">
      <alignment vertical="center"/>
    </xf>
    <xf numFmtId="49" fontId="1" fillId="0" borderId="0" xfId="137" applyNumberFormat="1" applyFont="1" applyFill="1">
      <alignment/>
      <protection/>
    </xf>
    <xf numFmtId="49" fontId="67" fillId="0" borderId="0" xfId="137" applyNumberFormat="1" applyFont="1" applyFill="1" applyBorder="1">
      <alignment/>
      <protection/>
    </xf>
    <xf numFmtId="49" fontId="6" fillId="0" borderId="0" xfId="137" applyNumberFormat="1" applyFont="1" applyFill="1" applyBorder="1">
      <alignment/>
      <protection/>
    </xf>
    <xf numFmtId="49" fontId="30" fillId="0" borderId="0" xfId="137" applyNumberFormat="1" applyFont="1" applyFill="1" applyAlignment="1">
      <alignment horizontal="center"/>
      <protection/>
    </xf>
    <xf numFmtId="49" fontId="34" fillId="0" borderId="0" xfId="137" applyNumberFormat="1" applyFont="1" applyFill="1">
      <alignment/>
      <protection/>
    </xf>
    <xf numFmtId="0" fontId="30" fillId="0" borderId="0" xfId="137" applyFont="1" applyFill="1" applyAlignment="1">
      <alignment horizontal="center"/>
      <protection/>
    </xf>
    <xf numFmtId="49" fontId="37" fillId="0" borderId="0" xfId="137" applyNumberFormat="1" applyFont="1" applyFill="1">
      <alignment/>
      <protection/>
    </xf>
    <xf numFmtId="3" fontId="0" fillId="0" borderId="0" xfId="137" applyNumberFormat="1" applyFont="1" applyFill="1">
      <alignment/>
      <protection/>
    </xf>
    <xf numFmtId="49" fontId="7" fillId="0" borderId="0" xfId="137" applyNumberFormat="1" applyFont="1" applyFill="1" applyAlignment="1">
      <alignment wrapText="1"/>
      <protection/>
    </xf>
    <xf numFmtId="49" fontId="0" fillId="0" borderId="0" xfId="137" applyNumberFormat="1" applyFont="1" applyFill="1" applyBorder="1" applyAlignment="1">
      <alignment horizontal="left"/>
      <protection/>
    </xf>
    <xf numFmtId="49" fontId="0" fillId="0" borderId="0" xfId="137" applyNumberFormat="1" applyFont="1" applyFill="1" applyBorder="1" applyAlignment="1">
      <alignment/>
      <protection/>
    </xf>
    <xf numFmtId="49" fontId="0" fillId="0" borderId="0" xfId="137" applyNumberFormat="1" applyFont="1" applyFill="1" applyBorder="1">
      <alignment/>
      <protection/>
    </xf>
    <xf numFmtId="49" fontId="24" fillId="0" borderId="13" xfId="137" applyNumberFormat="1" applyFont="1" applyFill="1" applyBorder="1" applyAlignment="1">
      <alignment/>
      <protection/>
    </xf>
    <xf numFmtId="49" fontId="10" fillId="0" borderId="13" xfId="137" applyNumberFormat="1" applyFont="1" applyFill="1" applyBorder="1" applyAlignment="1">
      <alignment horizontal="center"/>
      <protection/>
    </xf>
    <xf numFmtId="49" fontId="24" fillId="0" borderId="11" xfId="137" applyNumberFormat="1" applyFont="1" applyFill="1" applyBorder="1" applyAlignment="1">
      <alignment horizontal="center" vertical="center" wrapText="1"/>
      <protection/>
    </xf>
    <xf numFmtId="49" fontId="11" fillId="0" borderId="10" xfId="137" applyNumberFormat="1" applyFont="1" applyFill="1" applyBorder="1" applyAlignment="1">
      <alignment horizontal="center"/>
      <protection/>
    </xf>
    <xf numFmtId="49" fontId="11" fillId="0" borderId="10" xfId="137" applyNumberFormat="1" applyFont="1" applyFill="1" applyBorder="1" applyAlignment="1">
      <alignment horizontal="left"/>
      <protection/>
    </xf>
    <xf numFmtId="3" fontId="10" fillId="0" borderId="10" xfId="137" applyNumberFormat="1" applyFont="1" applyFill="1" applyBorder="1" applyAlignment="1">
      <alignment horizontal="center" vertical="center" wrapText="1"/>
      <protection/>
    </xf>
    <xf numFmtId="49" fontId="20" fillId="0" borderId="0" xfId="137" applyNumberFormat="1" applyFont="1" applyFill="1" applyBorder="1" applyAlignment="1">
      <alignment vertical="center" wrapText="1"/>
      <protection/>
    </xf>
    <xf numFmtId="49" fontId="18" fillId="0" borderId="11" xfId="137" applyNumberFormat="1" applyFont="1" applyFill="1" applyBorder="1" applyAlignment="1">
      <alignment horizontal="center"/>
      <protection/>
    </xf>
    <xf numFmtId="49" fontId="8" fillId="0" borderId="0" xfId="137" applyNumberFormat="1" applyFont="1" applyFill="1" applyBorder="1" applyAlignment="1">
      <alignment horizontal="center"/>
      <protection/>
    </xf>
    <xf numFmtId="49" fontId="8" fillId="0" borderId="0" xfId="137" applyNumberFormat="1" applyFont="1" applyFill="1" applyBorder="1" applyAlignment="1">
      <alignment horizontal="left"/>
      <protection/>
    </xf>
    <xf numFmtId="49" fontId="0" fillId="0" borderId="0" xfId="137" applyNumberFormat="1" applyFont="1" applyFill="1" applyBorder="1" applyAlignment="1">
      <alignment horizontal="center"/>
      <protection/>
    </xf>
    <xf numFmtId="49" fontId="34" fillId="0" borderId="0" xfId="137" applyNumberFormat="1" applyFont="1" applyFill="1" applyBorder="1" applyAlignment="1">
      <alignment wrapText="1"/>
      <protection/>
    </xf>
    <xf numFmtId="49" fontId="34" fillId="0" borderId="0" xfId="137" applyNumberFormat="1" applyFont="1" applyFill="1" applyAlignment="1">
      <alignment wrapText="1"/>
      <protection/>
    </xf>
    <xf numFmtId="49" fontId="7" fillId="0" borderId="0" xfId="137" applyNumberFormat="1" applyFont="1" applyFill="1" applyAlignment="1">
      <alignment/>
      <protection/>
    </xf>
    <xf numFmtId="49" fontId="78" fillId="0" borderId="0" xfId="137" applyNumberFormat="1" applyFont="1" applyFill="1">
      <alignment/>
      <protection/>
    </xf>
    <xf numFmtId="49" fontId="18" fillId="0" borderId="0" xfId="137" applyNumberFormat="1" applyFont="1" applyFill="1" applyBorder="1" applyAlignment="1">
      <alignment wrapText="1"/>
      <protection/>
    </xf>
    <xf numFmtId="49" fontId="0" fillId="0" borderId="0" xfId="140" applyNumberFormat="1" applyFont="1" applyFill="1" applyAlignment="1">
      <alignment horizontal="left"/>
      <protection/>
    </xf>
    <xf numFmtId="49" fontId="19" fillId="0" borderId="0" xfId="140" applyNumberFormat="1" applyFont="1" applyFill="1" applyAlignment="1">
      <alignment wrapText="1"/>
      <protection/>
    </xf>
    <xf numFmtId="49"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49" fontId="32" fillId="0" borderId="0" xfId="140" applyNumberFormat="1" applyFont="1" applyFill="1">
      <alignment/>
      <protection/>
    </xf>
    <xf numFmtId="49" fontId="0" fillId="0" borderId="0" xfId="140" applyNumberFormat="1" applyFont="1" applyFill="1" applyBorder="1" applyAlignment="1">
      <alignment/>
      <protection/>
    </xf>
    <xf numFmtId="49" fontId="20" fillId="0" borderId="0" xfId="140" applyNumberFormat="1" applyFont="1" applyFill="1" applyAlignment="1">
      <alignment/>
      <protection/>
    </xf>
    <xf numFmtId="49" fontId="23" fillId="0" borderId="0" xfId="140" applyNumberFormat="1" applyFont="1" applyFill="1" applyBorder="1" applyAlignment="1">
      <alignment/>
      <protection/>
    </xf>
    <xf numFmtId="49" fontId="23" fillId="0" borderId="13" xfId="140" applyNumberFormat="1" applyFont="1" applyFill="1" applyBorder="1" applyAlignment="1">
      <alignment horizontal="left"/>
      <protection/>
    </xf>
    <xf numFmtId="49" fontId="7" fillId="0" borderId="13" xfId="140" applyNumberFormat="1" applyFont="1" applyFill="1" applyBorder="1" applyAlignment="1">
      <alignment horizontal="left"/>
      <protection/>
    </xf>
    <xf numFmtId="49" fontId="17" fillId="0" borderId="11" xfId="140" applyNumberFormat="1" applyFont="1" applyFill="1" applyBorder="1" applyAlignment="1">
      <alignment horizontal="center" vertical="center" wrapText="1" readingOrder="1"/>
      <protection/>
    </xf>
    <xf numFmtId="49" fontId="32" fillId="0" borderId="0" xfId="140" applyNumberFormat="1" applyFont="1" applyFill="1" applyBorder="1">
      <alignment/>
      <protection/>
    </xf>
    <xf numFmtId="49" fontId="17" fillId="0" borderId="0" xfId="140" applyNumberFormat="1" applyFont="1" applyFill="1" applyBorder="1" applyAlignment="1">
      <alignment vertical="justify" textRotation="90" wrapText="1"/>
      <protection/>
    </xf>
    <xf numFmtId="49" fontId="80" fillId="0" borderId="17" xfId="140" applyNumberFormat="1" applyFont="1" applyFill="1" applyBorder="1" applyAlignment="1">
      <alignment wrapText="1"/>
      <protection/>
    </xf>
    <xf numFmtId="49" fontId="80" fillId="0" borderId="16" xfId="140" applyNumberFormat="1" applyFont="1" applyFill="1" applyBorder="1" applyAlignment="1">
      <alignment wrapText="1"/>
      <protection/>
    </xf>
    <xf numFmtId="49" fontId="110" fillId="0" borderId="28" xfId="140" applyNumberFormat="1" applyFont="1" applyFill="1" applyBorder="1" applyAlignment="1">
      <alignment horizontal="center" wrapText="1"/>
      <protection/>
    </xf>
    <xf numFmtId="49" fontId="24" fillId="0" borderId="14" xfId="140" applyNumberFormat="1" applyFont="1" applyFill="1" applyBorder="1" applyAlignment="1">
      <alignment horizontal="center"/>
      <protection/>
    </xf>
    <xf numFmtId="49" fontId="17" fillId="0" borderId="0" xfId="140" applyNumberFormat="1" applyFont="1" applyFill="1" applyBorder="1" applyAlignment="1">
      <alignment vertical="center" textRotation="90" wrapText="1"/>
      <protection/>
    </xf>
    <xf numFmtId="49" fontId="32" fillId="0" borderId="0" xfId="140" applyNumberFormat="1" applyFont="1" applyFill="1" applyBorder="1" applyAlignment="1">
      <alignment vertical="center"/>
      <protection/>
    </xf>
    <xf numFmtId="49" fontId="32" fillId="0" borderId="0" xfId="140" applyNumberFormat="1" applyFont="1" applyFill="1" applyAlignment="1">
      <alignment vertical="center"/>
      <protection/>
    </xf>
    <xf numFmtId="49" fontId="29" fillId="0" borderId="0" xfId="140" applyNumberFormat="1" applyFont="1" applyFill="1" applyBorder="1" applyAlignment="1">
      <alignment vertical="center" textRotation="90" wrapText="1"/>
      <protection/>
    </xf>
    <xf numFmtId="49" fontId="1" fillId="0" borderId="0" xfId="140" applyNumberFormat="1" applyFont="1" applyFill="1">
      <alignment/>
      <protection/>
    </xf>
    <xf numFmtId="49" fontId="85" fillId="0" borderId="0" xfId="140" applyNumberFormat="1" applyFont="1" applyFill="1">
      <alignment/>
      <protection/>
    </xf>
    <xf numFmtId="49" fontId="10" fillId="0" borderId="0" xfId="140" applyNumberFormat="1" applyFont="1" applyFill="1">
      <alignment/>
      <protection/>
    </xf>
    <xf numFmtId="49" fontId="34" fillId="0" borderId="0" xfId="140" applyNumberFormat="1" applyFont="1" applyFill="1">
      <alignment/>
      <protection/>
    </xf>
    <xf numFmtId="49" fontId="21" fillId="0" borderId="0" xfId="140" applyNumberFormat="1" applyFont="1" applyFill="1" applyAlignment="1">
      <alignment horizontal="left"/>
      <protection/>
    </xf>
    <xf numFmtId="49" fontId="18" fillId="0" borderId="0" xfId="140" applyNumberFormat="1" applyFont="1" applyFill="1" applyBorder="1" applyAlignment="1">
      <alignment wrapText="1"/>
      <protection/>
    </xf>
    <xf numFmtId="49" fontId="87" fillId="0" borderId="0" xfId="140" applyNumberFormat="1" applyFont="1" applyFill="1">
      <alignment/>
      <protection/>
    </xf>
    <xf numFmtId="49" fontId="18" fillId="0" borderId="0" xfId="140" applyNumberFormat="1" applyFont="1" applyFill="1" applyAlignment="1">
      <alignment horizontal="left"/>
      <protection/>
    </xf>
    <xf numFmtId="49" fontId="8" fillId="0" borderId="0" xfId="140" applyNumberFormat="1" applyFont="1" applyFill="1" applyAlignment="1">
      <alignment horizontal="left"/>
      <protection/>
    </xf>
    <xf numFmtId="49" fontId="87" fillId="0" borderId="0" xfId="140" applyNumberFormat="1" applyFont="1" applyFill="1" applyAlignment="1">
      <alignment horizontal="left"/>
      <protection/>
    </xf>
    <xf numFmtId="49" fontId="8" fillId="0" borderId="0" xfId="140" applyNumberFormat="1" applyFont="1" applyFill="1">
      <alignment/>
      <protection/>
    </xf>
    <xf numFmtId="9" fontId="32" fillId="0" borderId="0" xfId="150" applyFont="1" applyFill="1" applyAlignment="1">
      <alignment/>
    </xf>
    <xf numFmtId="0" fontId="0" fillId="0" borderId="0" xfId="140" applyNumberFormat="1" applyFont="1" applyFill="1" applyAlignment="1">
      <alignment horizontal="left"/>
      <protection/>
    </xf>
    <xf numFmtId="0" fontId="19" fillId="0" borderId="0" xfId="140" applyNumberFormat="1" applyFont="1" applyFill="1" applyAlignment="1">
      <alignment wrapText="1"/>
      <protection/>
    </xf>
    <xf numFmtId="3" fontId="0" fillId="0" borderId="0" xfId="140" applyNumberFormat="1" applyFont="1" applyFill="1" applyBorder="1" applyAlignment="1">
      <alignment/>
      <protection/>
    </xf>
    <xf numFmtId="0" fontId="32" fillId="0" borderId="0" xfId="140" applyFont="1" applyFill="1">
      <alignment/>
      <protection/>
    </xf>
    <xf numFmtId="0" fontId="0" fillId="0" borderId="0" xfId="140" applyFont="1" applyFill="1" applyAlignment="1">
      <alignment horizontal="left"/>
      <protection/>
    </xf>
    <xf numFmtId="0" fontId="0" fillId="0" borderId="0" xfId="140" applyFont="1" applyFill="1" applyBorder="1" applyAlignment="1">
      <alignment/>
      <protection/>
    </xf>
    <xf numFmtId="0" fontId="20" fillId="0" borderId="0" xfId="140" applyFont="1" applyFill="1" applyAlignment="1">
      <alignment/>
      <protection/>
    </xf>
    <xf numFmtId="0" fontId="0" fillId="0" borderId="0" xfId="140" applyFont="1" applyFill="1" applyBorder="1" applyAlignment="1">
      <alignment horizontal="left"/>
      <protection/>
    </xf>
    <xf numFmtId="0" fontId="23" fillId="0" borderId="13" xfId="140" applyFont="1" applyFill="1" applyBorder="1" applyAlignment="1">
      <alignment horizontal="left"/>
      <protection/>
    </xf>
    <xf numFmtId="0" fontId="31" fillId="0" borderId="11" xfId="140" applyFont="1" applyFill="1" applyBorder="1" applyAlignment="1">
      <alignment horizontal="center" vertical="center" wrapText="1"/>
      <protection/>
    </xf>
    <xf numFmtId="0" fontId="32" fillId="0" borderId="0" xfId="140" applyFont="1" applyFill="1" applyAlignment="1">
      <alignment vertical="center"/>
      <protection/>
    </xf>
    <xf numFmtId="0" fontId="80" fillId="0" borderId="17" xfId="140" applyFont="1" applyFill="1" applyBorder="1" applyAlignment="1">
      <alignment wrapText="1"/>
      <protection/>
    </xf>
    <xf numFmtId="0" fontId="80" fillId="0" borderId="16" xfId="140" applyFont="1" applyFill="1" applyBorder="1" applyAlignment="1">
      <alignment wrapText="1"/>
      <protection/>
    </xf>
    <xf numFmtId="3" fontId="110" fillId="0" borderId="28" xfId="140" applyNumberFormat="1" applyFont="1" applyFill="1" applyBorder="1" applyAlignment="1">
      <alignment horizontal="center" wrapText="1"/>
      <protection/>
    </xf>
    <xf numFmtId="0" fontId="24" fillId="0" borderId="14" xfId="140" applyFont="1" applyFill="1" applyBorder="1" applyAlignment="1">
      <alignment horizontal="center"/>
      <protection/>
    </xf>
    <xf numFmtId="0" fontId="110" fillId="0" borderId="28" xfId="140" applyFont="1" applyFill="1" applyBorder="1" applyAlignment="1">
      <alignment horizontal="center" wrapText="1"/>
      <protection/>
    </xf>
    <xf numFmtId="9" fontId="32" fillId="0" borderId="0" xfId="150" applyFont="1" applyFill="1" applyAlignment="1">
      <alignment vertical="center"/>
    </xf>
    <xf numFmtId="0" fontId="1" fillId="0" borderId="0" xfId="140" applyFont="1" applyFill="1">
      <alignment/>
      <protection/>
    </xf>
    <xf numFmtId="0" fontId="37" fillId="0" borderId="0" xfId="140" applyNumberFormat="1" applyFont="1" applyFill="1" applyBorder="1" applyAlignment="1">
      <alignment/>
      <protection/>
    </xf>
    <xf numFmtId="0" fontId="30" fillId="0" borderId="0" xfId="140" applyNumberFormat="1" applyFont="1" applyFill="1" applyBorder="1" applyAlignment="1">
      <alignment/>
      <protection/>
    </xf>
    <xf numFmtId="0" fontId="30" fillId="0" borderId="0" xfId="140" applyNumberFormat="1" applyFont="1" applyFill="1" applyBorder="1" applyAlignment="1">
      <alignment horizontal="center" wrapText="1"/>
      <protection/>
    </xf>
    <xf numFmtId="0" fontId="30" fillId="0" borderId="0" xfId="140" applyNumberFormat="1" applyFont="1" applyFill="1" applyBorder="1" applyAlignment="1">
      <alignment horizontal="center"/>
      <protection/>
    </xf>
    <xf numFmtId="0" fontId="10" fillId="0" borderId="0" xfId="140" applyFont="1" applyFill="1">
      <alignment/>
      <protection/>
    </xf>
    <xf numFmtId="0" fontId="30" fillId="0" borderId="0" xfId="137" applyFont="1" applyFill="1" applyAlignment="1">
      <alignment/>
      <protection/>
    </xf>
    <xf numFmtId="0" fontId="26" fillId="0" borderId="0" xfId="140" applyFont="1" applyFill="1">
      <alignment/>
      <protection/>
    </xf>
    <xf numFmtId="49" fontId="24" fillId="0" borderId="0" xfId="140" applyNumberFormat="1" applyFont="1" applyFill="1" applyBorder="1" applyAlignment="1">
      <alignment/>
      <protection/>
    </xf>
    <xf numFmtId="49" fontId="24" fillId="0" borderId="0" xfId="140" applyNumberFormat="1" applyFont="1" applyFill="1" applyAlignment="1">
      <alignment horizontal="left"/>
      <protection/>
    </xf>
    <xf numFmtId="49" fontId="24" fillId="0" borderId="0" xfId="140" applyNumberFormat="1" applyFont="1" applyFill="1">
      <alignment/>
      <protection/>
    </xf>
    <xf numFmtId="49" fontId="8" fillId="0" borderId="0" xfId="140" applyNumberFormat="1" applyFont="1" applyFill="1" applyBorder="1" applyAlignment="1">
      <alignment horizontal="left"/>
      <protection/>
    </xf>
    <xf numFmtId="49" fontId="0" fillId="0" borderId="13" xfId="140" applyNumberFormat="1" applyFont="1" applyFill="1" applyBorder="1" applyAlignment="1">
      <alignment/>
      <protection/>
    </xf>
    <xf numFmtId="49" fontId="11" fillId="0" borderId="11" xfId="140" applyNumberFormat="1" applyFont="1" applyFill="1" applyBorder="1" applyAlignment="1">
      <alignment horizontal="center" vertical="center" wrapText="1"/>
      <protection/>
    </xf>
    <xf numFmtId="49" fontId="10" fillId="0" borderId="15" xfId="140" applyNumberFormat="1" applyFont="1" applyFill="1" applyBorder="1">
      <alignment/>
      <protection/>
    </xf>
    <xf numFmtId="49" fontId="29" fillId="0" borderId="0" xfId="140" applyNumberFormat="1" applyFont="1" applyFill="1">
      <alignment/>
      <protection/>
    </xf>
    <xf numFmtId="49" fontId="11" fillId="0" borderId="16" xfId="140" applyNumberFormat="1" applyFont="1" applyFill="1" applyBorder="1" applyAlignment="1">
      <alignment horizontal="center" vertical="center" wrapText="1"/>
      <protection/>
    </xf>
    <xf numFmtId="49" fontId="24" fillId="0" borderId="11" xfId="140" applyNumberFormat="1" applyFont="1" applyFill="1" applyBorder="1" applyAlignment="1">
      <alignment horizontal="center" vertical="center"/>
      <protection/>
    </xf>
    <xf numFmtId="49" fontId="10" fillId="0" borderId="0" xfId="140" applyNumberFormat="1" applyFont="1" applyFill="1" applyAlignment="1">
      <alignment vertical="center"/>
      <protection/>
    </xf>
    <xf numFmtId="3" fontId="10" fillId="0" borderId="11" xfId="140" applyNumberFormat="1" applyFont="1" applyFill="1" applyBorder="1" applyAlignment="1">
      <alignment horizontal="center" vertical="center"/>
      <protection/>
    </xf>
    <xf numFmtId="49" fontId="93" fillId="0" borderId="0" xfId="140" applyNumberFormat="1" applyFont="1" applyFill="1">
      <alignment/>
      <protection/>
    </xf>
    <xf numFmtId="49" fontId="26" fillId="0" borderId="0" xfId="140" applyNumberFormat="1" applyFont="1" applyFill="1">
      <alignment/>
      <protection/>
    </xf>
    <xf numFmtId="0" fontId="12" fillId="0" borderId="0" xfId="140" applyFont="1" applyFill="1" applyBorder="1" applyAlignment="1">
      <alignment/>
      <protection/>
    </xf>
    <xf numFmtId="0" fontId="17" fillId="0" borderId="11" xfId="140" applyFont="1" applyFill="1" applyBorder="1" applyAlignment="1">
      <alignment horizontal="center" vertical="center" wrapText="1"/>
      <protection/>
    </xf>
    <xf numFmtId="0" fontId="24" fillId="0" borderId="14" xfId="140" applyFont="1" applyFill="1" applyBorder="1" applyAlignment="1">
      <alignment horizontal="center" vertical="center"/>
      <protection/>
    </xf>
    <xf numFmtId="0" fontId="24" fillId="0" borderId="11" xfId="140" applyFont="1" applyFill="1" applyBorder="1" applyAlignment="1">
      <alignment horizontal="center" vertical="center"/>
      <protection/>
    </xf>
    <xf numFmtId="0" fontId="21" fillId="0" borderId="0" xfId="140" applyFont="1" applyFill="1">
      <alignment/>
      <protection/>
    </xf>
    <xf numFmtId="0" fontId="33" fillId="0" borderId="0" xfId="140" applyFont="1" applyFill="1">
      <alignment/>
      <protection/>
    </xf>
    <xf numFmtId="0" fontId="18" fillId="0" borderId="0" xfId="140" applyFont="1" applyFill="1">
      <alignment/>
      <protection/>
    </xf>
    <xf numFmtId="49" fontId="18" fillId="0" borderId="0" xfId="140" applyNumberFormat="1" applyFont="1" applyFill="1">
      <alignment/>
      <protection/>
    </xf>
    <xf numFmtId="0" fontId="87" fillId="0" borderId="0" xfId="140" applyFont="1" applyFill="1">
      <alignment/>
      <protection/>
    </xf>
    <xf numFmtId="49" fontId="32" fillId="0" borderId="0" xfId="140" applyNumberFormat="1" applyFont="1" applyFill="1">
      <alignment/>
      <protection/>
    </xf>
    <xf numFmtId="49" fontId="32" fillId="0" borderId="0" xfId="140" applyNumberFormat="1" applyFont="1" applyFill="1" applyAlignment="1">
      <alignment horizontal="center"/>
      <protection/>
    </xf>
    <xf numFmtId="3" fontId="24" fillId="0" borderId="13" xfId="140" applyNumberFormat="1" applyFont="1" applyFill="1" applyBorder="1" applyAlignment="1">
      <alignment horizontal="center"/>
      <protection/>
    </xf>
    <xf numFmtId="49" fontId="10" fillId="0" borderId="13" xfId="140" applyNumberFormat="1" applyFont="1" applyFill="1" applyBorder="1" applyAlignment="1">
      <alignment/>
      <protection/>
    </xf>
    <xf numFmtId="49" fontId="32" fillId="0" borderId="0" xfId="140" applyNumberFormat="1" applyFont="1" applyFill="1" applyAlignment="1">
      <alignment vertical="center"/>
      <protection/>
    </xf>
    <xf numFmtId="49" fontId="85" fillId="0" borderId="0" xfId="140" applyNumberFormat="1" applyFont="1" applyFill="1">
      <alignment/>
      <protection/>
    </xf>
    <xf numFmtId="9" fontId="32" fillId="0" borderId="0" xfId="149" applyFont="1" applyFill="1" applyAlignment="1">
      <alignment/>
    </xf>
    <xf numFmtId="49" fontId="85" fillId="0" borderId="0" xfId="140" applyNumberFormat="1" applyFont="1" applyFill="1" applyAlignment="1">
      <alignment horizontal="center"/>
      <protection/>
    </xf>
    <xf numFmtId="49" fontId="7" fillId="0" borderId="0" xfId="140" applyNumberFormat="1" applyFont="1" applyFill="1" applyBorder="1" applyAlignment="1">
      <alignment/>
      <protection/>
    </xf>
    <xf numFmtId="49" fontId="11" fillId="0" borderId="13" xfId="140" applyNumberFormat="1" applyFont="1" applyFill="1" applyBorder="1" applyAlignment="1">
      <alignment/>
      <protection/>
    </xf>
    <xf numFmtId="49" fontId="30" fillId="0" borderId="0" xfId="137" applyNumberFormat="1" applyFont="1" applyFill="1" applyAlignment="1">
      <alignment/>
      <protection/>
    </xf>
    <xf numFmtId="49" fontId="102" fillId="0" borderId="0" xfId="140" applyNumberFormat="1" applyFont="1" applyFill="1">
      <alignment/>
      <protection/>
    </xf>
    <xf numFmtId="49" fontId="32" fillId="0" borderId="0" xfId="140" applyNumberFormat="1" applyFont="1" applyFill="1" applyAlignment="1">
      <alignment horizontal="center"/>
      <protection/>
    </xf>
    <xf numFmtId="49" fontId="11" fillId="0" borderId="0" xfId="140" applyNumberFormat="1" applyFont="1" applyFill="1" applyBorder="1" applyAlignment="1">
      <alignment/>
      <protection/>
    </xf>
    <xf numFmtId="49" fontId="88" fillId="0" borderId="0" xfId="140" applyNumberFormat="1" applyFont="1" applyFill="1">
      <alignment/>
      <protection/>
    </xf>
    <xf numFmtId="49" fontId="24" fillId="0" borderId="18" xfId="140" applyNumberFormat="1" applyFont="1" applyFill="1" applyBorder="1" applyAlignment="1">
      <alignment horizontal="center" vertical="center"/>
      <protection/>
    </xf>
    <xf numFmtId="49" fontId="7" fillId="0" borderId="0" xfId="140" applyNumberFormat="1" applyFont="1" applyFill="1" applyAlignment="1">
      <alignment horizontal="center"/>
      <protection/>
    </xf>
    <xf numFmtId="49" fontId="7" fillId="0" borderId="0" xfId="140" applyNumberFormat="1" applyFont="1" applyFill="1">
      <alignment/>
      <protection/>
    </xf>
    <xf numFmtId="3" fontId="7" fillId="0" borderId="0" xfId="140" applyNumberFormat="1" applyFont="1" applyFill="1" applyBorder="1" applyAlignment="1">
      <alignment/>
      <protection/>
    </xf>
    <xf numFmtId="0" fontId="7" fillId="0" borderId="0" xfId="140" applyFont="1" applyFill="1">
      <alignment/>
      <protection/>
    </xf>
    <xf numFmtId="0" fontId="8" fillId="0" borderId="0" xfId="140" applyFont="1" applyFill="1" applyBorder="1" applyAlignment="1">
      <alignment horizontal="left"/>
      <protection/>
    </xf>
    <xf numFmtId="3" fontId="0" fillId="0" borderId="0" xfId="140" applyNumberFormat="1" applyFont="1" applyFill="1" applyAlignment="1">
      <alignment horizontal="left"/>
      <protection/>
    </xf>
    <xf numFmtId="0" fontId="18" fillId="0" borderId="0" xfId="140" applyFont="1" applyFill="1" applyBorder="1" applyAlignment="1">
      <alignment/>
      <protection/>
    </xf>
    <xf numFmtId="0" fontId="12" fillId="0" borderId="11" xfId="140" applyFont="1" applyFill="1" applyBorder="1" applyAlignment="1">
      <alignment horizontal="center" vertical="center" wrapText="1"/>
      <protection/>
    </xf>
    <xf numFmtId="3" fontId="23" fillId="0" borderId="11" xfId="140" applyNumberFormat="1" applyFont="1" applyFill="1" applyBorder="1" applyAlignment="1">
      <alignment horizontal="center" vertical="center"/>
      <protection/>
    </xf>
    <xf numFmtId="0" fontId="0" fillId="0" borderId="0" xfId="140" applyFont="1" applyFill="1" applyAlignment="1">
      <alignment horizontal="center" vertical="center"/>
      <protection/>
    </xf>
    <xf numFmtId="0" fontId="7" fillId="0" borderId="0" xfId="140" applyFont="1" applyFill="1" applyAlignment="1">
      <alignment vertical="center"/>
      <protection/>
    </xf>
    <xf numFmtId="0" fontId="7" fillId="0" borderId="0" xfId="140" applyFont="1" applyFill="1" applyAlignment="1">
      <alignment horizontal="center"/>
      <protection/>
    </xf>
    <xf numFmtId="0" fontId="30" fillId="0" borderId="0" xfId="140" applyFont="1" applyFill="1">
      <alignment/>
      <protection/>
    </xf>
    <xf numFmtId="0" fontId="6" fillId="0" borderId="0" xfId="140" applyFont="1" applyFill="1">
      <alignment/>
      <protection/>
    </xf>
    <xf numFmtId="0" fontId="8" fillId="0" borderId="0" xfId="140" applyNumberFormat="1" applyFont="1" applyFill="1" applyBorder="1" applyAlignment="1">
      <alignment horizontal="center" wrapText="1"/>
      <protection/>
    </xf>
    <xf numFmtId="0" fontId="12" fillId="0" borderId="11" xfId="140" applyNumberFormat="1" applyFont="1" applyFill="1" applyBorder="1" applyAlignment="1">
      <alignment horizontal="center" vertical="center" wrapText="1"/>
      <protection/>
    </xf>
    <xf numFmtId="0" fontId="18" fillId="0" borderId="11" xfId="140" applyFont="1" applyFill="1" applyBorder="1" applyAlignment="1">
      <alignment horizontal="center"/>
      <protection/>
    </xf>
    <xf numFmtId="0" fontId="18" fillId="0" borderId="29" xfId="140" applyFont="1" applyFill="1" applyBorder="1" applyAlignment="1">
      <alignment horizontal="center"/>
      <protection/>
    </xf>
    <xf numFmtId="49" fontId="10" fillId="0" borderId="11" xfId="137" applyNumberFormat="1" applyFont="1" applyFill="1" applyBorder="1" applyAlignment="1">
      <alignment horizontal="center" vertical="center" wrapText="1"/>
      <protection/>
    </xf>
    <xf numFmtId="49" fontId="10" fillId="0" borderId="12" xfId="137" applyNumberFormat="1" applyFont="1" applyFill="1" applyBorder="1" applyAlignment="1">
      <alignment horizontal="center" vertical="center" wrapText="1"/>
      <protection/>
    </xf>
    <xf numFmtId="49" fontId="20" fillId="0" borderId="0" xfId="137" applyNumberFormat="1" applyFont="1" applyFill="1" applyBorder="1" applyAlignment="1">
      <alignment wrapText="1"/>
      <protection/>
    </xf>
    <xf numFmtId="0" fontId="7" fillId="0" borderId="0" xfId="137" applyFont="1" applyFill="1" applyAlignment="1">
      <alignment/>
      <protection/>
    </xf>
    <xf numFmtId="49" fontId="0" fillId="0" borderId="0" xfId="137" applyNumberFormat="1" applyFont="1" applyFill="1">
      <alignment/>
      <protection/>
    </xf>
    <xf numFmtId="49" fontId="8" fillId="0" borderId="11"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0" fontId="0" fillId="0" borderId="0" xfId="140" applyNumberFormat="1" applyFont="1" applyFill="1" applyBorder="1" applyAlignment="1">
      <alignment horizontal="left"/>
      <protection/>
    </xf>
    <xf numFmtId="0" fontId="7" fillId="0" borderId="0" xfId="140" applyNumberFormat="1" applyFont="1" applyFill="1" applyBorder="1" applyAlignment="1">
      <alignment horizontal="left"/>
      <protection/>
    </xf>
    <xf numFmtId="49" fontId="0" fillId="0" borderId="0" xfId="140" applyNumberFormat="1" applyFont="1" applyFill="1" applyBorder="1" applyAlignment="1">
      <alignment horizontal="left"/>
      <protection/>
    </xf>
    <xf numFmtId="0" fontId="34" fillId="0" borderId="0" xfId="140" applyNumberFormat="1" applyFont="1" applyFill="1">
      <alignment/>
      <protection/>
    </xf>
    <xf numFmtId="0" fontId="19" fillId="0" borderId="0" xfId="137" applyNumberFormat="1" applyFont="1" applyFill="1" applyAlignment="1">
      <alignment/>
      <protection/>
    </xf>
    <xf numFmtId="0" fontId="111" fillId="0" borderId="0" xfId="140" applyNumberFormat="1" applyFont="1" applyFill="1">
      <alignment/>
      <protection/>
    </xf>
    <xf numFmtId="0" fontId="0" fillId="0" borderId="0" xfId="140" applyFont="1" applyFill="1" applyBorder="1" applyAlignment="1">
      <alignment horizontal="left"/>
      <protection/>
    </xf>
    <xf numFmtId="0" fontId="8" fillId="0" borderId="0" xfId="140" applyNumberFormat="1" applyFont="1" applyFill="1" applyBorder="1" applyAlignment="1">
      <alignment horizontal="left"/>
      <protection/>
    </xf>
    <xf numFmtId="0" fontId="37" fillId="0" borderId="0" xfId="140" applyNumberFormat="1" applyFont="1" applyFill="1">
      <alignment/>
      <protection/>
    </xf>
    <xf numFmtId="0" fontId="30" fillId="0" borderId="0" xfId="137" applyNumberFormat="1" applyFont="1" applyFill="1" applyAlignment="1">
      <alignment/>
      <protection/>
    </xf>
    <xf numFmtId="49" fontId="23" fillId="0" borderId="0" xfId="140" applyNumberFormat="1" applyFont="1" applyFill="1" applyAlignment="1">
      <alignment wrapText="1"/>
      <protection/>
    </xf>
    <xf numFmtId="49" fontId="0" fillId="0" borderId="0" xfId="140" applyNumberFormat="1" applyFont="1" applyFill="1" applyBorder="1" applyAlignment="1">
      <alignment/>
      <protection/>
    </xf>
    <xf numFmtId="0" fontId="7" fillId="0" borderId="0" xfId="140" applyNumberFormat="1" applyFont="1" applyFill="1" applyBorder="1" applyAlignment="1">
      <alignment/>
      <protection/>
    </xf>
    <xf numFmtId="0" fontId="30" fillId="0" borderId="0" xfId="140" applyNumberFormat="1" applyFont="1" applyFill="1">
      <alignment/>
      <protection/>
    </xf>
    <xf numFmtId="0" fontId="34" fillId="0" borderId="0" xfId="140" applyNumberFormat="1" applyFont="1" applyFill="1" applyBorder="1" applyAlignment="1">
      <alignment wrapText="1"/>
      <protection/>
    </xf>
    <xf numFmtId="0" fontId="78" fillId="0" borderId="0" xfId="140" applyNumberFormat="1" applyFont="1" applyFill="1" applyAlignment="1">
      <alignment horizontal="center"/>
      <protection/>
    </xf>
    <xf numFmtId="0" fontId="37" fillId="0" borderId="0" xfId="140" applyNumberFormat="1" applyFont="1" applyFill="1" applyBorder="1" applyAlignment="1">
      <alignment wrapText="1"/>
      <protection/>
    </xf>
    <xf numFmtId="0" fontId="24" fillId="0" borderId="13" xfId="140" applyNumberFormat="1" applyFont="1" applyFill="1" applyBorder="1" applyAlignment="1">
      <alignment horizontal="center"/>
      <protection/>
    </xf>
    <xf numFmtId="3" fontId="24" fillId="0" borderId="0" xfId="140" applyNumberFormat="1" applyFont="1" applyFill="1" applyBorder="1" applyAlignment="1">
      <alignment horizontal="center"/>
      <protection/>
    </xf>
    <xf numFmtId="49" fontId="10" fillId="0" borderId="0" xfId="140" applyNumberFormat="1" applyFont="1" applyFill="1" applyBorder="1" applyAlignment="1">
      <alignment/>
      <protection/>
    </xf>
    <xf numFmtId="0" fontId="24" fillId="0" borderId="0" xfId="140" applyNumberFormat="1" applyFont="1" applyFill="1" applyBorder="1" applyAlignment="1">
      <alignment horizontal="center"/>
      <protection/>
    </xf>
    <xf numFmtId="49" fontId="32" fillId="0" borderId="0" xfId="140" applyNumberFormat="1" applyFont="1" applyFill="1" applyBorder="1" applyAlignment="1">
      <alignment horizontal="center"/>
      <protection/>
    </xf>
    <xf numFmtId="49" fontId="32" fillId="0" borderId="0" xfId="140" applyNumberFormat="1" applyFont="1" applyFill="1" applyBorder="1">
      <alignment/>
      <protection/>
    </xf>
    <xf numFmtId="0" fontId="0" fillId="0" borderId="0" xfId="140" applyFont="1" applyFill="1" applyAlignment="1">
      <alignment/>
      <protection/>
    </xf>
    <xf numFmtId="49" fontId="0" fillId="0" borderId="0" xfId="0" applyNumberFormat="1" applyFill="1" applyAlignment="1">
      <alignment/>
    </xf>
    <xf numFmtId="49" fontId="0" fillId="0" borderId="0" xfId="140" applyNumberFormat="1" applyFont="1" applyFill="1" applyAlignment="1">
      <alignment/>
      <protection/>
    </xf>
    <xf numFmtId="0" fontId="23" fillId="0" borderId="13" xfId="140" applyFont="1" applyFill="1" applyBorder="1" applyAlignment="1">
      <alignment/>
      <protection/>
    </xf>
    <xf numFmtId="0" fontId="18" fillId="0" borderId="13" xfId="140"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2" fontId="0" fillId="0" borderId="0" xfId="0" applyNumberFormat="1" applyAlignment="1">
      <alignment horizontal="left"/>
    </xf>
    <xf numFmtId="49" fontId="0" fillId="0" borderId="0" xfId="0" applyNumberFormat="1" applyFont="1" applyBorder="1" applyAlignment="1">
      <alignment horizontal="left"/>
    </xf>
    <xf numFmtId="49" fontId="132" fillId="0" borderId="0" xfId="0" applyNumberFormat="1" applyFont="1" applyAlignment="1">
      <alignment/>
    </xf>
    <xf numFmtId="2" fontId="132" fillId="0" borderId="0" xfId="0" applyNumberFormat="1" applyFont="1" applyAlignment="1">
      <alignment horizontal="left"/>
    </xf>
    <xf numFmtId="0" fontId="132" fillId="0" borderId="0" xfId="0" applyNumberFormat="1" applyFont="1" applyAlignment="1">
      <alignment/>
    </xf>
    <xf numFmtId="0" fontId="132" fillId="0" borderId="0" xfId="0" applyFont="1" applyBorder="1" applyAlignment="1">
      <alignment/>
    </xf>
    <xf numFmtId="0" fontId="25" fillId="26" borderId="11" xfId="0" applyFont="1" applyFill="1" applyBorder="1" applyAlignment="1">
      <alignment wrapText="1"/>
    </xf>
    <xf numFmtId="49" fontId="17" fillId="20" borderId="11" xfId="0" applyNumberFormat="1" applyFont="1" applyFill="1" applyBorder="1" applyAlignment="1">
      <alignment horizontal="center"/>
    </xf>
    <xf numFmtId="1" fontId="11" fillId="20" borderId="11" xfId="0" applyNumberFormat="1" applyFont="1" applyFill="1" applyBorder="1" applyAlignment="1">
      <alignment horizontal="left"/>
    </xf>
    <xf numFmtId="1" fontId="11" fillId="20" borderId="17" xfId="0" applyNumberFormat="1" applyFont="1" applyFill="1" applyBorder="1" applyAlignment="1">
      <alignment horizontal="left"/>
    </xf>
    <xf numFmtId="49" fontId="17" fillId="25" borderId="11" xfId="0" applyNumberFormat="1" applyFont="1" applyFill="1" applyBorder="1" applyAlignment="1">
      <alignment horizontal="center"/>
    </xf>
    <xf numFmtId="1" fontId="11" fillId="25" borderId="11" xfId="0" applyNumberFormat="1" applyFont="1" applyFill="1" applyBorder="1" applyAlignment="1">
      <alignment horizontal="left"/>
    </xf>
    <xf numFmtId="41" fontId="11" fillId="20" borderId="11" xfId="0" applyNumberFormat="1" applyFont="1" applyFill="1" applyBorder="1" applyAlignment="1">
      <alignment vertical="center"/>
    </xf>
    <xf numFmtId="41" fontId="10" fillId="24" borderId="12" xfId="0" applyNumberFormat="1" applyFont="1" applyFill="1" applyBorder="1" applyAlignment="1">
      <alignment vertical="center"/>
    </xf>
    <xf numFmtId="41" fontId="11" fillId="20" borderId="12" xfId="0" applyNumberFormat="1" applyFont="1" applyFill="1" applyBorder="1" applyAlignment="1">
      <alignment vertical="center"/>
    </xf>
    <xf numFmtId="41" fontId="10" fillId="24" borderId="11" xfId="0" applyNumberFormat="1" applyFont="1" applyFill="1" applyBorder="1" applyAlignment="1">
      <alignment vertical="center"/>
    </xf>
    <xf numFmtId="41" fontId="10" fillId="25" borderId="11" xfId="0" applyNumberFormat="1" applyFont="1" applyFill="1" applyBorder="1" applyAlignment="1">
      <alignment vertical="center"/>
    </xf>
    <xf numFmtId="41" fontId="11" fillId="20" borderId="17" xfId="0" applyNumberFormat="1" applyFont="1" applyFill="1" applyBorder="1" applyAlignment="1">
      <alignment horizontal="left" vertical="center"/>
    </xf>
    <xf numFmtId="41" fontId="11" fillId="20" borderId="11" xfId="0" applyNumberFormat="1" applyFont="1" applyFill="1" applyBorder="1" applyAlignment="1">
      <alignment horizontal="left" vertical="center"/>
    </xf>
    <xf numFmtId="41" fontId="10" fillId="24" borderId="14" xfId="0" applyNumberFormat="1" applyFont="1" applyFill="1" applyBorder="1" applyAlignment="1">
      <alignment vertical="center"/>
    </xf>
    <xf numFmtId="41" fontId="11" fillId="20" borderId="14" xfId="0" applyNumberFormat="1" applyFont="1" applyFill="1" applyBorder="1" applyAlignment="1">
      <alignment vertical="center"/>
    </xf>
    <xf numFmtId="41" fontId="10" fillId="20" borderId="11" xfId="0" applyNumberFormat="1" applyFont="1" applyFill="1" applyBorder="1" applyAlignment="1">
      <alignment vertical="center"/>
    </xf>
    <xf numFmtId="41" fontId="11" fillId="20" borderId="11" xfId="0" applyNumberFormat="1" applyFont="1" applyFill="1" applyBorder="1" applyAlignment="1" applyProtection="1">
      <alignment horizontal="center" vertical="center"/>
      <protection/>
    </xf>
    <xf numFmtId="4" fontId="90" fillId="20" borderId="11" xfId="0" applyNumberFormat="1" applyFont="1" applyFill="1" applyBorder="1" applyAlignment="1" applyProtection="1">
      <alignment horizontal="center" vertical="center"/>
      <protection/>
    </xf>
    <xf numFmtId="49" fontId="11" fillId="20" borderId="11" xfId="0" applyNumberFormat="1" applyFont="1" applyFill="1" applyBorder="1" applyAlignment="1" applyProtection="1">
      <alignment horizontal="center" vertical="center"/>
      <protection/>
    </xf>
    <xf numFmtId="49" fontId="11" fillId="20" borderId="11" xfId="0" applyNumberFormat="1" applyFont="1" applyFill="1" applyBorder="1" applyAlignment="1" applyProtection="1">
      <alignment vertical="center"/>
      <protection/>
    </xf>
    <xf numFmtId="49" fontId="10" fillId="24" borderId="11" xfId="0" applyNumberFormat="1" applyFont="1" applyFill="1" applyBorder="1" applyAlignment="1" applyProtection="1">
      <alignment horizontal="center" vertical="center"/>
      <protection/>
    </xf>
    <xf numFmtId="0" fontId="10" fillId="0" borderId="11" xfId="0" applyFont="1" applyBorder="1" applyAlignment="1">
      <alignment horizontal="left" vertical="center"/>
    </xf>
    <xf numFmtId="41" fontId="10" fillId="24" borderId="11" xfId="0" applyNumberFormat="1" applyFont="1" applyFill="1" applyBorder="1" applyAlignment="1" applyProtection="1">
      <alignment horizontal="center" vertical="center"/>
      <protection/>
    </xf>
    <xf numFmtId="41" fontId="10" fillId="25" borderId="11" xfId="0" applyNumberFormat="1" applyFont="1" applyFill="1" applyBorder="1" applyAlignment="1" applyProtection="1">
      <alignment horizontal="center" vertical="center"/>
      <protection/>
    </xf>
    <xf numFmtId="41" fontId="10" fillId="24" borderId="11" xfId="147" applyNumberFormat="1" applyFont="1" applyFill="1" applyBorder="1" applyAlignment="1" applyProtection="1">
      <alignment horizontal="center" vertical="center"/>
      <protection/>
    </xf>
    <xf numFmtId="41" fontId="11" fillId="20" borderId="11" xfId="0" applyNumberFormat="1" applyFont="1" applyFill="1" applyBorder="1" applyAlignment="1">
      <alignment horizontal="center"/>
    </xf>
    <xf numFmtId="41" fontId="11" fillId="5" borderId="11" xfId="0" applyNumberFormat="1" applyFont="1" applyFill="1" applyBorder="1" applyAlignment="1">
      <alignment horizontal="center" vertical="center"/>
    </xf>
    <xf numFmtId="4" fontId="90" fillId="24" borderId="11" xfId="0" applyNumberFormat="1" applyFont="1" applyFill="1" applyBorder="1" applyAlignment="1" applyProtection="1">
      <alignment horizontal="center" vertical="center"/>
      <protection/>
    </xf>
    <xf numFmtId="0" fontId="10" fillId="0" borderId="11" xfId="0" applyFont="1" applyFill="1" applyBorder="1" applyAlignment="1">
      <alignment horizontal="left" vertical="center"/>
    </xf>
    <xf numFmtId="49" fontId="10" fillId="24" borderId="31" xfId="0" applyNumberFormat="1" applyFont="1" applyFill="1" applyBorder="1" applyAlignment="1" applyProtection="1">
      <alignment horizontal="center" vertical="center"/>
      <protection/>
    </xf>
    <xf numFmtId="0" fontId="10" fillId="0" borderId="31" xfId="0" applyFont="1" applyBorder="1" applyAlignment="1">
      <alignment horizontal="left" vertical="center"/>
    </xf>
    <xf numFmtId="41" fontId="11" fillId="20" borderId="31" xfId="0" applyNumberFormat="1" applyFont="1" applyFill="1" applyBorder="1" applyAlignment="1" applyProtection="1">
      <alignment horizontal="center" vertical="center"/>
      <protection/>
    </xf>
    <xf numFmtId="41" fontId="10" fillId="24" borderId="31" xfId="0" applyNumberFormat="1" applyFont="1" applyFill="1" applyBorder="1" applyAlignment="1" applyProtection="1">
      <alignment horizontal="center" vertical="center"/>
      <protection/>
    </xf>
    <xf numFmtId="41" fontId="10" fillId="25" borderId="31" xfId="0" applyNumberFormat="1" applyFont="1" applyFill="1" applyBorder="1" applyAlignment="1" applyProtection="1">
      <alignment horizontal="center" vertical="center"/>
      <protection/>
    </xf>
    <xf numFmtId="41" fontId="10" fillId="24" borderId="31" xfId="147" applyNumberFormat="1" applyFont="1" applyFill="1" applyBorder="1" applyAlignment="1" applyProtection="1">
      <alignment horizontal="center" vertical="center"/>
      <protection/>
    </xf>
    <xf numFmtId="41" fontId="11" fillId="20" borderId="31" xfId="0" applyNumberFormat="1" applyFont="1" applyFill="1" applyBorder="1" applyAlignment="1">
      <alignment horizontal="center"/>
    </xf>
    <xf numFmtId="41" fontId="11" fillId="5" borderId="31" xfId="0" applyNumberFormat="1" applyFont="1" applyFill="1" applyBorder="1" applyAlignment="1">
      <alignment horizontal="center" vertical="center"/>
    </xf>
    <xf numFmtId="4" fontId="90" fillId="24" borderId="31" xfId="0" applyNumberFormat="1" applyFont="1" applyFill="1" applyBorder="1" applyAlignment="1" applyProtection="1">
      <alignment horizontal="center" vertical="center"/>
      <protection/>
    </xf>
    <xf numFmtId="49" fontId="11" fillId="20" borderId="14" xfId="0" applyNumberFormat="1" applyFont="1" applyFill="1" applyBorder="1" applyAlignment="1" applyProtection="1">
      <alignment horizontal="center" vertical="center"/>
      <protection/>
    </xf>
    <xf numFmtId="49" fontId="11" fillId="20" borderId="14" xfId="0" applyNumberFormat="1" applyFont="1" applyFill="1" applyBorder="1" applyAlignment="1" applyProtection="1">
      <alignment vertical="center"/>
      <protection/>
    </xf>
    <xf numFmtId="41" fontId="11" fillId="20" borderId="14" xfId="0" applyNumberFormat="1" applyFont="1" applyFill="1" applyBorder="1" applyAlignment="1" applyProtection="1">
      <alignment horizontal="center" vertical="center"/>
      <protection/>
    </xf>
    <xf numFmtId="41" fontId="11" fillId="20" borderId="14" xfId="0" applyNumberFormat="1" applyFont="1" applyFill="1" applyBorder="1" applyAlignment="1">
      <alignment horizontal="center" vertical="center"/>
    </xf>
    <xf numFmtId="4" fontId="90" fillId="20" borderId="14" xfId="0" applyNumberFormat="1" applyFont="1" applyFill="1" applyBorder="1" applyAlignment="1" applyProtection="1">
      <alignment horizontal="center" vertical="center"/>
      <protection/>
    </xf>
    <xf numFmtId="4" fontId="26" fillId="20" borderId="14" xfId="0" applyNumberFormat="1" applyFont="1" applyFill="1" applyBorder="1" applyAlignment="1" applyProtection="1">
      <alignment horizontal="center" vertical="center"/>
      <protection/>
    </xf>
    <xf numFmtId="0" fontId="10" fillId="24" borderId="11" xfId="0" applyNumberFormat="1" applyFont="1" applyFill="1" applyBorder="1" applyAlignment="1" applyProtection="1">
      <alignment horizontal="center" vertical="center"/>
      <protection/>
    </xf>
    <xf numFmtId="41" fontId="11" fillId="20" borderId="11" xfId="0" applyNumberFormat="1" applyFont="1" applyFill="1" applyBorder="1" applyAlignment="1">
      <alignment horizontal="center" vertical="center"/>
    </xf>
    <xf numFmtId="0" fontId="10" fillId="24" borderId="31" xfId="0" applyNumberFormat="1" applyFont="1" applyFill="1" applyBorder="1" applyAlignment="1" applyProtection="1">
      <alignment horizontal="center" vertical="center"/>
      <protection/>
    </xf>
    <xf numFmtId="0" fontId="35" fillId="24" borderId="11" xfId="0" applyNumberFormat="1" applyFont="1" applyFill="1" applyBorder="1" applyAlignment="1" applyProtection="1">
      <alignment horizontal="center" vertical="center"/>
      <protection/>
    </xf>
    <xf numFmtId="0" fontId="35" fillId="24" borderId="31" xfId="0" applyNumberFormat="1" applyFont="1" applyFill="1" applyBorder="1" applyAlignment="1" applyProtection="1">
      <alignment horizontal="center" vertical="center"/>
      <protection/>
    </xf>
    <xf numFmtId="0" fontId="10" fillId="24" borderId="12" xfId="0" applyNumberFormat="1" applyFont="1" applyFill="1" applyBorder="1" applyAlignment="1" applyProtection="1">
      <alignment horizontal="center" vertical="center"/>
      <protection/>
    </xf>
    <xf numFmtId="0" fontId="134" fillId="24" borderId="30" xfId="0" applyNumberFormat="1" applyFont="1" applyFill="1" applyBorder="1" applyAlignment="1" applyProtection="1">
      <alignment horizontal="center" vertical="center"/>
      <protection/>
    </xf>
    <xf numFmtId="0" fontId="134" fillId="24" borderId="31" xfId="0" applyNumberFormat="1" applyFont="1" applyFill="1" applyBorder="1" applyAlignment="1" applyProtection="1">
      <alignment horizontal="center" vertical="center"/>
      <protection/>
    </xf>
    <xf numFmtId="41" fontId="12" fillId="20" borderId="11" xfId="139" applyNumberFormat="1" applyFont="1" applyFill="1" applyBorder="1" applyAlignment="1" applyProtection="1">
      <alignment horizontal="center" vertical="center"/>
      <protection hidden="1"/>
    </xf>
    <xf numFmtId="0" fontId="135" fillId="24" borderId="11" xfId="139" applyFont="1" applyFill="1" applyBorder="1" applyAlignment="1">
      <alignment horizontal="left" vertical="center"/>
      <protection/>
    </xf>
    <xf numFmtId="41" fontId="136" fillId="20" borderId="11" xfId="139" applyNumberFormat="1" applyFont="1" applyFill="1" applyBorder="1" applyAlignment="1" applyProtection="1">
      <alignment horizontal="center" vertical="center"/>
      <protection hidden="1"/>
    </xf>
    <xf numFmtId="41" fontId="133" fillId="0" borderId="11" xfId="139" applyNumberFormat="1" applyFont="1" applyBorder="1" applyAlignment="1" applyProtection="1">
      <alignment vertical="center"/>
      <protection hidden="1"/>
    </xf>
    <xf numFmtId="41" fontId="132" fillId="0" borderId="11" xfId="139" applyNumberFormat="1" applyFont="1" applyBorder="1" applyAlignment="1" applyProtection="1">
      <alignment vertical="center"/>
      <protection hidden="1"/>
    </xf>
    <xf numFmtId="0" fontId="11" fillId="20" borderId="14" xfId="139" applyFont="1" applyFill="1" applyBorder="1" applyAlignment="1">
      <alignment horizontal="center" vertical="center"/>
      <protection/>
    </xf>
    <xf numFmtId="0" fontId="135" fillId="20" borderId="11" xfId="139" applyFont="1" applyFill="1" applyBorder="1" applyAlignment="1">
      <alignment horizontal="left" vertical="center"/>
      <protection/>
    </xf>
    <xf numFmtId="49" fontId="137" fillId="24" borderId="11" xfId="0" applyNumberFormat="1" applyFont="1" applyFill="1" applyBorder="1" applyAlignment="1">
      <alignment horizontal="left" vertical="center"/>
    </xf>
    <xf numFmtId="41" fontId="132" fillId="0" borderId="11" xfId="139" applyNumberFormat="1" applyFont="1" applyBorder="1" applyAlignment="1" applyProtection="1">
      <alignment horizontal="center" vertical="center"/>
      <protection hidden="1"/>
    </xf>
    <xf numFmtId="0" fontId="10" fillId="0" borderId="31" xfId="139" applyFont="1" applyBorder="1" applyAlignment="1">
      <alignment horizontal="center" vertical="center"/>
      <protection/>
    </xf>
    <xf numFmtId="49" fontId="137" fillId="24" borderId="31" xfId="0" applyNumberFormat="1" applyFont="1" applyFill="1" applyBorder="1" applyAlignment="1">
      <alignment horizontal="left" vertical="center"/>
    </xf>
    <xf numFmtId="41" fontId="136" fillId="20" borderId="31" xfId="139" applyNumberFormat="1" applyFont="1" applyFill="1" applyBorder="1" applyAlignment="1" applyProtection="1">
      <alignment horizontal="center" vertical="center"/>
      <protection hidden="1"/>
    </xf>
    <xf numFmtId="41" fontId="132" fillId="0" borderId="31" xfId="139" applyNumberFormat="1" applyFont="1" applyBorder="1" applyAlignment="1" applyProtection="1">
      <alignment horizontal="center" vertical="center"/>
      <protection hidden="1"/>
    </xf>
    <xf numFmtId="41" fontId="132" fillId="0" borderId="31" xfId="139" applyNumberFormat="1" applyFont="1" applyBorder="1" applyAlignment="1" applyProtection="1">
      <alignment vertical="center"/>
      <protection hidden="1"/>
    </xf>
    <xf numFmtId="41" fontId="133" fillId="0" borderId="31" xfId="139" applyNumberFormat="1" applyFont="1" applyBorder="1" applyAlignment="1" applyProtection="1">
      <alignment vertical="center"/>
      <protection hidden="1"/>
    </xf>
    <xf numFmtId="0" fontId="135" fillId="0" borderId="11" xfId="139" applyFont="1" applyBorder="1" applyAlignment="1">
      <alignment horizontal="center" vertical="center"/>
      <protection/>
    </xf>
    <xf numFmtId="41" fontId="138" fillId="20" borderId="11" xfId="139" applyNumberFormat="1" applyFont="1" applyFill="1" applyBorder="1" applyAlignment="1" applyProtection="1">
      <alignment horizontal="center" vertical="center"/>
      <protection hidden="1"/>
    </xf>
    <xf numFmtId="41" fontId="132" fillId="24" borderId="11" xfId="139" applyNumberFormat="1" applyFont="1" applyFill="1" applyBorder="1" applyAlignment="1" applyProtection="1">
      <alignment vertical="center"/>
      <protection hidden="1"/>
    </xf>
    <xf numFmtId="0" fontId="135" fillId="20" borderId="14" xfId="139" applyFont="1" applyFill="1" applyBorder="1" applyAlignment="1">
      <alignment horizontal="center" vertical="center"/>
      <protection/>
    </xf>
    <xf numFmtId="0" fontId="137" fillId="0" borderId="11" xfId="139" applyFont="1" applyBorder="1" applyAlignment="1">
      <alignment horizontal="center" vertical="center"/>
      <protection/>
    </xf>
    <xf numFmtId="0" fontId="137" fillId="0" borderId="31" xfId="139" applyFont="1" applyBorder="1" applyAlignment="1">
      <alignment horizontal="center" vertical="center"/>
      <protection/>
    </xf>
    <xf numFmtId="41" fontId="138" fillId="20" borderId="31" xfId="139" applyNumberFormat="1" applyFont="1" applyFill="1" applyBorder="1" applyAlignment="1" applyProtection="1">
      <alignment horizontal="center" vertical="center"/>
      <protection hidden="1"/>
    </xf>
    <xf numFmtId="41" fontId="132" fillId="24" borderId="31" xfId="139" applyNumberFormat="1" applyFont="1" applyFill="1" applyBorder="1" applyAlignment="1" applyProtection="1">
      <alignment vertical="center"/>
      <protection hidden="1"/>
    </xf>
    <xf numFmtId="3" fontId="13" fillId="0" borderId="11" xfId="139" applyNumberFormat="1" applyFont="1" applyBorder="1" applyAlignment="1" applyProtection="1">
      <alignment horizontal="center" vertical="center"/>
      <protection hidden="1"/>
    </xf>
    <xf numFmtId="41" fontId="10" fillId="0" borderId="11" xfId="139" applyNumberFormat="1" applyFont="1" applyBorder="1" applyAlignment="1" applyProtection="1">
      <alignment vertical="center"/>
      <protection hidden="1"/>
    </xf>
    <xf numFmtId="0" fontId="11" fillId="20" borderId="11" xfId="139" applyFont="1" applyFill="1" applyBorder="1" applyAlignment="1">
      <alignment horizontal="left" vertical="center"/>
      <protection/>
    </xf>
    <xf numFmtId="41" fontId="11" fillId="20" borderId="11" xfId="139" applyNumberFormat="1" applyFont="1" applyFill="1" applyBorder="1" applyAlignment="1" applyProtection="1">
      <alignment horizontal="center" vertical="center"/>
      <protection hidden="1"/>
    </xf>
    <xf numFmtId="49" fontId="10" fillId="24" borderId="11" xfId="0" applyNumberFormat="1" applyFont="1" applyFill="1" applyBorder="1" applyAlignment="1">
      <alignment horizontal="left" vertical="center"/>
    </xf>
    <xf numFmtId="41" fontId="11" fillId="20" borderId="31" xfId="139" applyNumberFormat="1" applyFont="1" applyFill="1" applyBorder="1" applyAlignment="1" applyProtection="1">
      <alignment horizontal="center" vertical="center"/>
      <protection hidden="1"/>
    </xf>
    <xf numFmtId="41" fontId="10" fillId="0" borderId="31" xfId="139" applyNumberFormat="1" applyFont="1" applyBorder="1" applyAlignment="1" applyProtection="1">
      <alignment vertical="center"/>
      <protection hidden="1"/>
    </xf>
    <xf numFmtId="41" fontId="135" fillId="20" borderId="11" xfId="139" applyNumberFormat="1" applyFont="1" applyFill="1" applyBorder="1" applyAlignment="1" applyProtection="1">
      <alignment horizontal="center" vertical="center"/>
      <protection hidden="1"/>
    </xf>
    <xf numFmtId="41" fontId="137" fillId="0" borderId="11" xfId="139" applyNumberFormat="1" applyFont="1" applyBorder="1" applyAlignment="1" applyProtection="1">
      <alignment vertical="center"/>
      <protection hidden="1"/>
    </xf>
    <xf numFmtId="0" fontId="10" fillId="20" borderId="14" xfId="139" applyFont="1" applyFill="1" applyBorder="1" applyAlignment="1">
      <alignment horizontal="center" vertical="center"/>
      <protection/>
    </xf>
    <xf numFmtId="41" fontId="137" fillId="24" borderId="11" xfId="139" applyNumberFormat="1" applyFont="1" applyFill="1" applyBorder="1" applyAlignment="1" applyProtection="1">
      <alignment horizontal="center" vertical="center"/>
      <protection hidden="1"/>
    </xf>
    <xf numFmtId="41" fontId="98" fillId="24" borderId="11" xfId="139" applyNumberFormat="1" applyFont="1" applyFill="1" applyBorder="1" applyAlignment="1" applyProtection="1">
      <alignment vertical="center"/>
      <protection hidden="1"/>
    </xf>
    <xf numFmtId="0" fontId="11" fillId="20" borderId="11" xfId="139" applyFont="1" applyFill="1" applyBorder="1" applyAlignment="1">
      <alignment horizontal="center" vertical="center"/>
      <protection/>
    </xf>
    <xf numFmtId="49" fontId="10" fillId="0" borderId="11" xfId="0" applyNumberFormat="1" applyFont="1" applyBorder="1" applyAlignment="1">
      <alignment horizontal="center" vertical="center"/>
    </xf>
    <xf numFmtId="49" fontId="10" fillId="0" borderId="31" xfId="0" applyNumberFormat="1" applyFont="1" applyBorder="1" applyAlignment="1">
      <alignment horizontal="center" vertical="center"/>
    </xf>
    <xf numFmtId="37" fontId="11" fillId="20" borderId="14" xfId="139" applyNumberFormat="1" applyFont="1" applyFill="1" applyBorder="1" applyAlignment="1" applyProtection="1">
      <alignment horizontal="center" vertical="center"/>
      <protection hidden="1"/>
    </xf>
    <xf numFmtId="41" fontId="11" fillId="20" borderId="14" xfId="139" applyNumberFormat="1" applyFont="1" applyFill="1" applyBorder="1" applyAlignment="1" applyProtection="1">
      <alignment horizontal="center" vertical="center"/>
      <protection hidden="1"/>
    </xf>
    <xf numFmtId="49" fontId="137" fillId="0" borderId="11" xfId="0" applyNumberFormat="1" applyFont="1" applyBorder="1" applyAlignment="1">
      <alignment horizontal="center" vertical="center"/>
    </xf>
    <xf numFmtId="49" fontId="137" fillId="0" borderId="31" xfId="0" applyNumberFormat="1" applyFont="1" applyBorder="1" applyAlignment="1">
      <alignment horizontal="center" vertical="center"/>
    </xf>
    <xf numFmtId="41" fontId="17" fillId="20" borderId="28" xfId="139" applyNumberFormat="1" applyFont="1" applyFill="1" applyBorder="1" applyAlignment="1" applyProtection="1">
      <alignment horizontal="center" vertical="center" wrapText="1"/>
      <protection hidden="1"/>
    </xf>
    <xf numFmtId="41" fontId="11" fillId="20" borderId="28" xfId="139" applyNumberFormat="1" applyFont="1" applyFill="1" applyBorder="1" applyAlignment="1" applyProtection="1">
      <alignment horizontal="center" vertical="center" wrapText="1"/>
      <protection hidden="1"/>
    </xf>
    <xf numFmtId="49" fontId="135" fillId="0" borderId="11" xfId="139" applyNumberFormat="1" applyFont="1" applyBorder="1" applyAlignment="1">
      <alignment horizontal="center"/>
      <protection/>
    </xf>
    <xf numFmtId="49" fontId="135" fillId="24" borderId="11" xfId="139" applyNumberFormat="1" applyFont="1" applyFill="1" applyBorder="1" applyAlignment="1">
      <alignment horizontal="left"/>
      <protection/>
    </xf>
    <xf numFmtId="41" fontId="135" fillId="20" borderId="28" xfId="139" applyNumberFormat="1" applyFont="1" applyFill="1" applyBorder="1" applyAlignment="1" applyProtection="1">
      <alignment horizontal="center" vertical="center" wrapText="1"/>
      <protection hidden="1"/>
    </xf>
    <xf numFmtId="41" fontId="137" fillId="24" borderId="11" xfId="139" applyNumberFormat="1" applyFont="1" applyFill="1" applyBorder="1" applyAlignment="1" applyProtection="1">
      <alignment horizontal="left" vertical="center"/>
      <protection hidden="1"/>
    </xf>
    <xf numFmtId="41" fontId="135" fillId="20" borderId="14" xfId="139" applyNumberFormat="1" applyFont="1" applyFill="1" applyBorder="1" applyAlignment="1" applyProtection="1">
      <alignment horizontal="center" vertical="center"/>
      <protection hidden="1"/>
    </xf>
    <xf numFmtId="41" fontId="137" fillId="24" borderId="11" xfId="139" applyNumberFormat="1" applyFont="1" applyFill="1" applyBorder="1" applyAlignment="1" applyProtection="1">
      <alignment vertical="center"/>
      <protection hidden="1"/>
    </xf>
    <xf numFmtId="49" fontId="135" fillId="20" borderId="14" xfId="139" applyNumberFormat="1" applyFont="1" applyFill="1" applyBorder="1" applyAlignment="1">
      <alignment horizontal="center"/>
      <protection/>
    </xf>
    <xf numFmtId="49" fontId="135" fillId="20" borderId="11" xfId="139" applyNumberFormat="1" applyFont="1" applyFill="1" applyBorder="1" applyAlignment="1">
      <alignment horizontal="left"/>
      <protection/>
    </xf>
    <xf numFmtId="41" fontId="11" fillId="20" borderId="11" xfId="0" applyNumberFormat="1" applyFont="1" applyFill="1" applyBorder="1" applyAlignment="1" applyProtection="1">
      <alignment horizontal="center"/>
      <protection hidden="1"/>
    </xf>
    <xf numFmtId="0" fontId="136" fillId="0" borderId="11" xfId="0" applyNumberFormat="1" applyFont="1" applyBorder="1" applyAlignment="1">
      <alignment horizontal="center"/>
    </xf>
    <xf numFmtId="41" fontId="135" fillId="20" borderId="11" xfId="0" applyNumberFormat="1" applyFont="1" applyFill="1" applyBorder="1" applyAlignment="1" applyProtection="1">
      <alignment horizontal="center"/>
      <protection hidden="1"/>
    </xf>
    <xf numFmtId="41" fontId="137" fillId="0" borderId="11" xfId="0" applyNumberFormat="1" applyFont="1" applyFill="1" applyBorder="1" applyAlignment="1" applyProtection="1">
      <alignment horizontal="center"/>
      <protection hidden="1"/>
    </xf>
    <xf numFmtId="0" fontId="136" fillId="20" borderId="14" xfId="0" applyNumberFormat="1" applyFont="1" applyFill="1" applyBorder="1" applyAlignment="1">
      <alignment horizontal="center"/>
    </xf>
    <xf numFmtId="0" fontId="133" fillId="0" borderId="11" xfId="0" applyNumberFormat="1" applyFont="1" applyBorder="1" applyAlignment="1">
      <alignment horizontal="center"/>
    </xf>
    <xf numFmtId="0" fontId="133" fillId="0" borderId="31" xfId="0" applyNumberFormat="1" applyFont="1" applyBorder="1" applyAlignment="1">
      <alignment horizontal="center"/>
    </xf>
    <xf numFmtId="41" fontId="137" fillId="0" borderId="31" xfId="0" applyNumberFormat="1" applyFont="1" applyFill="1" applyBorder="1" applyAlignment="1" applyProtection="1">
      <alignment horizontal="center"/>
      <protection hidden="1"/>
    </xf>
    <xf numFmtId="41" fontId="11" fillId="20" borderId="11" xfId="0" applyNumberFormat="1" applyFont="1" applyFill="1" applyBorder="1" applyAlignment="1" applyProtection="1">
      <alignment horizontal="center" vertical="center" wrapText="1"/>
      <protection hidden="1"/>
    </xf>
    <xf numFmtId="0" fontId="11" fillId="0" borderId="11" xfId="0" applyNumberFormat="1" applyFont="1" applyFill="1" applyBorder="1" applyAlignment="1">
      <alignment horizontal="center"/>
    </xf>
    <xf numFmtId="41" fontId="135" fillId="20" borderId="11" xfId="0" applyNumberFormat="1" applyFont="1" applyFill="1" applyBorder="1" applyAlignment="1" applyProtection="1">
      <alignment horizontal="center" vertical="center" wrapText="1"/>
      <protection hidden="1"/>
    </xf>
    <xf numFmtId="0" fontId="11" fillId="20" borderId="14" xfId="0" applyNumberFormat="1" applyFont="1" applyFill="1" applyBorder="1" applyAlignment="1">
      <alignment horizontal="center"/>
    </xf>
    <xf numFmtId="0" fontId="10" fillId="0" borderId="14" xfId="0" applyNumberFormat="1" applyFont="1" applyFill="1" applyBorder="1" applyAlignment="1">
      <alignment horizontal="center"/>
    </xf>
    <xf numFmtId="0" fontId="10" fillId="0" borderId="31" xfId="0" applyNumberFormat="1" applyFont="1" applyFill="1" applyBorder="1" applyAlignment="1">
      <alignment horizontal="center"/>
    </xf>
    <xf numFmtId="41" fontId="135" fillId="20" borderId="31" xfId="0" applyNumberFormat="1" applyFont="1" applyFill="1" applyBorder="1" applyAlignment="1" applyProtection="1">
      <alignment horizontal="center" vertical="center" wrapText="1"/>
      <protection hidden="1"/>
    </xf>
    <xf numFmtId="41" fontId="11" fillId="20" borderId="11" xfId="0" applyNumberFormat="1" applyFont="1" applyFill="1" applyBorder="1" applyAlignment="1" applyProtection="1">
      <alignment horizontal="center" vertical="center"/>
      <protection hidden="1"/>
    </xf>
    <xf numFmtId="0" fontId="11" fillId="0" borderId="11" xfId="0" applyNumberFormat="1" applyFont="1" applyBorder="1" applyAlignment="1">
      <alignment horizontal="center"/>
    </xf>
    <xf numFmtId="0" fontId="10" fillId="0" borderId="11" xfId="0" applyNumberFormat="1" applyFont="1" applyBorder="1" applyAlignment="1">
      <alignment horizontal="center"/>
    </xf>
    <xf numFmtId="0" fontId="10" fillId="0" borderId="31" xfId="0" applyNumberFormat="1" applyFont="1" applyBorder="1" applyAlignment="1">
      <alignment horizontal="center"/>
    </xf>
    <xf numFmtId="3" fontId="139" fillId="20" borderId="11" xfId="0" applyNumberFormat="1" applyFont="1" applyFill="1" applyBorder="1" applyAlignment="1" applyProtection="1">
      <alignment horizontal="center" vertical="center"/>
      <protection/>
    </xf>
    <xf numFmtId="4" fontId="140" fillId="20" borderId="11" xfId="0" applyNumberFormat="1" applyFont="1" applyFill="1" applyBorder="1" applyAlignment="1" applyProtection="1">
      <alignment horizontal="center" vertical="center"/>
      <protection/>
    </xf>
    <xf numFmtId="49" fontId="31" fillId="20" borderId="11" xfId="0" applyNumberFormat="1" applyFont="1" applyFill="1" applyBorder="1" applyAlignment="1" applyProtection="1">
      <alignment vertical="center"/>
      <protection/>
    </xf>
    <xf numFmtId="3" fontId="139" fillId="20" borderId="11" xfId="0" applyNumberFormat="1" applyFont="1" applyFill="1" applyBorder="1" applyAlignment="1">
      <alignment horizontal="center" vertical="center"/>
    </xf>
    <xf numFmtId="4" fontId="140" fillId="20" borderId="11" xfId="0" applyNumberFormat="1" applyFont="1" applyFill="1" applyBorder="1" applyAlignment="1">
      <alignment horizontal="center" vertical="center"/>
    </xf>
    <xf numFmtId="49" fontId="31" fillId="20" borderId="14" xfId="0" applyNumberFormat="1" applyFont="1" applyFill="1" applyBorder="1" applyAlignment="1" applyProtection="1">
      <alignment vertical="center"/>
      <protection/>
    </xf>
    <xf numFmtId="3" fontId="139" fillId="20" borderId="14" xfId="0" applyNumberFormat="1" applyFont="1" applyFill="1" applyBorder="1" applyAlignment="1" applyProtection="1">
      <alignment horizontal="center" vertical="center"/>
      <protection/>
    </xf>
    <xf numFmtId="4" fontId="140" fillId="20" borderId="14" xfId="0" applyNumberFormat="1" applyFont="1" applyFill="1" applyBorder="1" applyAlignment="1">
      <alignment horizontal="center" vertical="center"/>
    </xf>
    <xf numFmtId="3" fontId="139" fillId="20" borderId="14" xfId="0" applyNumberFormat="1" applyFont="1" applyFill="1" applyBorder="1" applyAlignment="1">
      <alignment horizontal="center" vertical="center"/>
    </xf>
    <xf numFmtId="0" fontId="141" fillId="24" borderId="30" xfId="0" applyNumberFormat="1" applyFont="1" applyFill="1" applyBorder="1" applyAlignment="1" applyProtection="1">
      <alignment horizontal="center" vertical="center"/>
      <protection/>
    </xf>
    <xf numFmtId="0" fontId="141" fillId="24" borderId="31" xfId="0" applyNumberFormat="1" applyFont="1" applyFill="1" applyBorder="1" applyAlignment="1" applyProtection="1">
      <alignment horizontal="center" vertical="center"/>
      <protection/>
    </xf>
    <xf numFmtId="41" fontId="10" fillId="0" borderId="11" xfId="140" applyNumberFormat="1" applyFont="1" applyFill="1" applyBorder="1" applyAlignment="1">
      <alignment horizontal="center" vertical="center"/>
      <protection/>
    </xf>
    <xf numFmtId="41" fontId="11" fillId="20" borderId="11" xfId="140" applyNumberFormat="1" applyFont="1" applyFill="1" applyBorder="1" applyAlignment="1">
      <alignment horizontal="center" vertical="center"/>
      <protection/>
    </xf>
    <xf numFmtId="41" fontId="24" fillId="0" borderId="11" xfId="140" applyNumberFormat="1" applyFont="1" applyFill="1" applyBorder="1" applyAlignment="1">
      <alignment horizontal="center" vertical="center"/>
      <protection/>
    </xf>
    <xf numFmtId="41" fontId="32" fillId="0" borderId="11" xfId="140" applyNumberFormat="1" applyFont="1" applyFill="1" applyBorder="1" applyAlignment="1">
      <alignment horizontal="center" vertical="center"/>
      <protection/>
    </xf>
    <xf numFmtId="49" fontId="17" fillId="0" borderId="11" xfId="0" applyNumberFormat="1" applyFont="1" applyFill="1" applyBorder="1" applyAlignment="1">
      <alignment horizontal="center" vertical="center" wrapText="1"/>
    </xf>
    <xf numFmtId="49" fontId="10" fillId="0" borderId="31" xfId="0" applyNumberFormat="1" applyFont="1" applyBorder="1" applyAlignment="1">
      <alignment horizontal="center"/>
    </xf>
    <xf numFmtId="49" fontId="8" fillId="0" borderId="31" xfId="0" applyNumberFormat="1" applyFont="1" applyBorder="1" applyAlignment="1">
      <alignment wrapText="1"/>
    </xf>
    <xf numFmtId="49" fontId="7" fillId="20" borderId="11" xfId="0" applyNumberFormat="1" applyFont="1" applyFill="1" applyBorder="1" applyAlignment="1">
      <alignment horizontal="center"/>
    </xf>
    <xf numFmtId="49" fontId="12" fillId="20" borderId="11" xfId="0" applyNumberFormat="1" applyFont="1" applyFill="1" applyBorder="1" applyAlignment="1">
      <alignment wrapText="1"/>
    </xf>
    <xf numFmtId="10" fontId="26" fillId="0" borderId="11" xfId="131" applyNumberFormat="1" applyFont="1" applyFill="1" applyBorder="1" applyAlignment="1">
      <alignment horizontal="right" vertical="center"/>
      <protection/>
    </xf>
    <xf numFmtId="41" fontId="11" fillId="20" borderId="12" xfId="0" applyNumberFormat="1" applyFont="1" applyFill="1" applyBorder="1" applyAlignment="1">
      <alignment horizontal="center" vertical="center"/>
    </xf>
    <xf numFmtId="41" fontId="11" fillId="20" borderId="12" xfId="0" applyNumberFormat="1" applyFont="1" applyFill="1" applyBorder="1" applyAlignment="1">
      <alignment horizontal="center" vertical="center" wrapText="1"/>
    </xf>
    <xf numFmtId="41" fontId="10" fillId="0" borderId="12" xfId="0" applyNumberFormat="1" applyFont="1" applyBorder="1" applyAlignment="1">
      <alignment horizontal="center" vertical="center"/>
    </xf>
    <xf numFmtId="41" fontId="10" fillId="0" borderId="12" xfId="0" applyNumberFormat="1" applyFont="1" applyBorder="1" applyAlignment="1">
      <alignment vertical="center"/>
    </xf>
    <xf numFmtId="41" fontId="10" fillId="0" borderId="11" xfId="0" applyNumberFormat="1" applyFont="1" applyBorder="1" applyAlignment="1">
      <alignment vertical="center"/>
    </xf>
    <xf numFmtId="41" fontId="10" fillId="0" borderId="11" xfId="0" applyNumberFormat="1" applyFont="1" applyBorder="1" applyAlignment="1">
      <alignment horizontal="center" vertical="center"/>
    </xf>
    <xf numFmtId="41" fontId="10" fillId="25" borderId="11" xfId="0" applyNumberFormat="1" applyFont="1" applyFill="1" applyBorder="1" applyAlignment="1">
      <alignment horizontal="center" vertical="center"/>
    </xf>
    <xf numFmtId="41" fontId="10" fillId="25" borderId="11" xfId="0" applyNumberFormat="1" applyFont="1" applyFill="1" applyBorder="1" applyAlignment="1">
      <alignment vertical="center"/>
    </xf>
    <xf numFmtId="41" fontId="11" fillId="20" borderId="14" xfId="0" applyNumberFormat="1" applyFont="1" applyFill="1" applyBorder="1" applyAlignment="1">
      <alignment horizontal="center" vertical="center"/>
    </xf>
    <xf numFmtId="41" fontId="10" fillId="0" borderId="14" xfId="0" applyNumberFormat="1" applyFont="1" applyBorder="1" applyAlignment="1">
      <alignment horizontal="center" vertical="center"/>
    </xf>
    <xf numFmtId="41" fontId="10" fillId="20" borderId="11" xfId="0" applyNumberFormat="1" applyFont="1" applyFill="1" applyBorder="1" applyAlignment="1">
      <alignment horizontal="center" vertical="center"/>
    </xf>
    <xf numFmtId="49" fontId="17" fillId="20" borderId="11" xfId="0" applyNumberFormat="1" applyFont="1" applyFill="1" applyBorder="1" applyAlignment="1">
      <alignment horizontal="center" vertical="center"/>
    </xf>
    <xf numFmtId="2" fontId="11" fillId="20" borderId="11" xfId="0" applyNumberFormat="1" applyFont="1" applyFill="1" applyBorder="1" applyAlignment="1">
      <alignment horizontal="left" vertical="center"/>
    </xf>
    <xf numFmtId="1" fontId="10" fillId="0" borderId="11" xfId="0" applyNumberFormat="1" applyFont="1" applyFill="1" applyBorder="1" applyAlignment="1">
      <alignment horizontal="left" vertical="center"/>
    </xf>
    <xf numFmtId="49" fontId="17" fillId="25" borderId="11" xfId="0" applyNumberFormat="1" applyFont="1" applyFill="1" applyBorder="1" applyAlignment="1">
      <alignment horizontal="center" vertical="center"/>
    </xf>
    <xf numFmtId="1" fontId="11" fillId="25" borderId="11" xfId="0" applyNumberFormat="1" applyFont="1" applyFill="1" applyBorder="1" applyAlignment="1">
      <alignment horizontal="left" vertical="center"/>
    </xf>
    <xf numFmtId="1" fontId="11" fillId="20" borderId="11" xfId="0" applyNumberFormat="1" applyFont="1" applyFill="1" applyBorder="1" applyAlignment="1">
      <alignment horizontal="left" vertical="center"/>
    </xf>
    <xf numFmtId="2" fontId="11" fillId="0" borderId="11" xfId="0" applyNumberFormat="1" applyFont="1" applyFill="1" applyBorder="1" applyAlignment="1">
      <alignment horizontal="left" vertical="center" wrapText="1"/>
    </xf>
    <xf numFmtId="0" fontId="0" fillId="0" borderId="30" xfId="0" applyBorder="1" applyAlignment="1">
      <alignment/>
    </xf>
    <xf numFmtId="0" fontId="25" fillId="26" borderId="30" xfId="0" applyFont="1" applyFill="1" applyBorder="1" applyAlignment="1">
      <alignment wrapText="1"/>
    </xf>
    <xf numFmtId="41" fontId="137" fillId="24" borderId="14" xfId="0" applyNumberFormat="1" applyFont="1" applyFill="1" applyBorder="1" applyAlignment="1">
      <alignment vertical="center"/>
    </xf>
    <xf numFmtId="49" fontId="17" fillId="20" borderId="14" xfId="0" applyNumberFormat="1" applyFont="1" applyFill="1" applyBorder="1" applyAlignment="1">
      <alignment horizontal="center" vertical="center"/>
    </xf>
    <xf numFmtId="2" fontId="11" fillId="20" borderId="14" xfId="0" applyNumberFormat="1" applyFont="1" applyFill="1" applyBorder="1" applyAlignment="1">
      <alignment horizontal="left" vertical="center"/>
    </xf>
    <xf numFmtId="1" fontId="11" fillId="20" borderId="17" xfId="0" applyNumberFormat="1" applyFont="1" applyFill="1" applyBorder="1" applyAlignment="1">
      <alignment horizontal="left" vertical="center"/>
    </xf>
    <xf numFmtId="2" fontId="17" fillId="0" borderId="17" xfId="0" applyNumberFormat="1" applyFont="1" applyFill="1" applyBorder="1" applyAlignment="1">
      <alignment horizontal="left" vertical="center" wrapText="1"/>
    </xf>
    <xf numFmtId="3" fontId="8" fillId="0" borderId="0" xfId="0" applyNumberFormat="1" applyFont="1" applyFill="1" applyAlignment="1">
      <alignment/>
    </xf>
    <xf numFmtId="3" fontId="0" fillId="0" borderId="0" xfId="0" applyNumberFormat="1" applyFont="1" applyFill="1" applyAlignment="1">
      <alignment/>
    </xf>
    <xf numFmtId="41" fontId="142" fillId="20" borderId="11" xfId="0" applyNumberFormat="1" applyFont="1" applyFill="1" applyBorder="1" applyAlignment="1" applyProtection="1">
      <alignment horizontal="center" vertical="center" wrapText="1"/>
      <protection hidden="1"/>
    </xf>
    <xf numFmtId="41" fontId="35" fillId="0" borderId="11" xfId="0" applyNumberFormat="1" applyFont="1" applyFill="1" applyBorder="1" applyAlignment="1" applyProtection="1">
      <alignment horizontal="center"/>
      <protection hidden="1"/>
    </xf>
    <xf numFmtId="0" fontId="19" fillId="0" borderId="0" xfId="0" applyNumberFormat="1" applyFont="1" applyFill="1" applyAlignment="1">
      <alignment horizontal="center"/>
    </xf>
    <xf numFmtId="3" fontId="1" fillId="0" borderId="0" xfId="0" applyNumberFormat="1" applyFont="1" applyFill="1" applyAlignment="1">
      <alignment/>
    </xf>
    <xf numFmtId="3" fontId="12" fillId="0" borderId="0" xfId="0" applyNumberFormat="1" applyFont="1" applyAlignment="1">
      <alignment/>
    </xf>
    <xf numFmtId="3" fontId="0" fillId="0" borderId="0" xfId="0" applyNumberFormat="1" applyFont="1" applyAlignment="1">
      <alignment/>
    </xf>
    <xf numFmtId="3" fontId="8" fillId="0" borderId="0" xfId="0" applyNumberFormat="1" applyFont="1" applyAlignment="1">
      <alignment/>
    </xf>
    <xf numFmtId="3" fontId="3" fillId="0" borderId="0" xfId="0" applyNumberFormat="1" applyFont="1" applyFill="1" applyAlignment="1">
      <alignment/>
    </xf>
    <xf numFmtId="3" fontId="11" fillId="20" borderId="11" xfId="135" applyNumberFormat="1" applyFont="1" applyFill="1" applyBorder="1" applyAlignment="1" applyProtection="1">
      <alignment horizontal="right" vertical="center"/>
      <protection/>
    </xf>
    <xf numFmtId="41" fontId="11" fillId="0" borderId="11" xfId="0" applyNumberFormat="1" applyFont="1" applyBorder="1" applyAlignment="1">
      <alignment horizontal="center" vertical="center"/>
    </xf>
    <xf numFmtId="41" fontId="10" fillId="0" borderId="31" xfId="0" applyNumberFormat="1" applyFont="1" applyBorder="1" applyAlignment="1">
      <alignment horizontal="center" vertical="center"/>
    </xf>
    <xf numFmtId="49" fontId="11" fillId="0" borderId="11" xfId="0" applyNumberFormat="1" applyFont="1" applyFill="1" applyBorder="1" applyAlignment="1">
      <alignment horizontal="center" vertical="center" wrapText="1"/>
    </xf>
    <xf numFmtId="49" fontId="11" fillId="20" borderId="11" xfId="0" applyNumberFormat="1" applyFont="1" applyFill="1" applyBorder="1" applyAlignment="1">
      <alignment horizontal="center" vertical="center"/>
    </xf>
    <xf numFmtId="49" fontId="11" fillId="20" borderId="11" xfId="0" applyNumberFormat="1" applyFont="1" applyFill="1" applyBorder="1" applyAlignment="1">
      <alignment vertical="center" wrapText="1"/>
    </xf>
    <xf numFmtId="49" fontId="10" fillId="0" borderId="11" xfId="0" applyNumberFormat="1" applyFont="1" applyFill="1" applyBorder="1" applyAlignment="1">
      <alignment vertical="center" wrapText="1"/>
    </xf>
    <xf numFmtId="49" fontId="10" fillId="0" borderId="31" xfId="0" applyNumberFormat="1" applyFont="1" applyFill="1" applyBorder="1" applyAlignment="1">
      <alignment horizontal="center" vertical="center"/>
    </xf>
    <xf numFmtId="49" fontId="10" fillId="0" borderId="31" xfId="0" applyNumberFormat="1" applyFont="1" applyFill="1" applyBorder="1" applyAlignment="1">
      <alignment vertical="center" wrapText="1"/>
    </xf>
    <xf numFmtId="3" fontId="12" fillId="0" borderId="0" xfId="0" applyNumberFormat="1" applyFont="1" applyFill="1" applyAlignment="1">
      <alignment/>
    </xf>
    <xf numFmtId="3" fontId="0" fillId="0" borderId="0" xfId="0" applyNumberFormat="1" applyFont="1" applyFill="1" applyAlignment="1">
      <alignment/>
    </xf>
    <xf numFmtId="0" fontId="28" fillId="0" borderId="0" xfId="140" applyNumberFormat="1" applyFont="1" applyFill="1" applyAlignment="1">
      <alignment horizontal="center"/>
      <protection/>
    </xf>
    <xf numFmtId="49" fontId="11" fillId="0" borderId="11" xfId="0" applyNumberFormat="1" applyFont="1" applyFill="1" applyBorder="1" applyAlignment="1">
      <alignment horizontal="center" vertical="center"/>
    </xf>
    <xf numFmtId="2" fontId="11" fillId="20" borderId="11" xfId="0" applyNumberFormat="1" applyFont="1" applyFill="1" applyBorder="1" applyAlignment="1">
      <alignment horizontal="left" vertical="center" wrapText="1"/>
    </xf>
    <xf numFmtId="41" fontId="10" fillId="24" borderId="31" xfId="0" applyNumberFormat="1" applyFont="1" applyFill="1" applyBorder="1" applyAlignment="1">
      <alignment vertical="center"/>
    </xf>
    <xf numFmtId="41" fontId="31" fillId="20" borderId="11" xfId="0" applyNumberFormat="1" applyFont="1" applyFill="1" applyBorder="1" applyAlignment="1">
      <alignment vertical="center"/>
    </xf>
    <xf numFmtId="41" fontId="13" fillId="24" borderId="12" xfId="0" applyNumberFormat="1" applyFont="1" applyFill="1" applyBorder="1" applyAlignment="1">
      <alignment vertical="center"/>
    </xf>
    <xf numFmtId="41" fontId="31" fillId="20" borderId="12" xfId="0" applyNumberFormat="1" applyFont="1" applyFill="1" applyBorder="1" applyAlignment="1">
      <alignment vertical="center"/>
    </xf>
    <xf numFmtId="41" fontId="13" fillId="24" borderId="11" xfId="0" applyNumberFormat="1" applyFont="1" applyFill="1" applyBorder="1" applyAlignment="1">
      <alignment vertical="center"/>
    </xf>
    <xf numFmtId="41" fontId="13" fillId="25" borderId="11" xfId="0" applyNumberFormat="1" applyFont="1" applyFill="1" applyBorder="1" applyAlignment="1">
      <alignment vertical="center"/>
    </xf>
    <xf numFmtId="41" fontId="31" fillId="20" borderId="17" xfId="0" applyNumberFormat="1" applyFont="1" applyFill="1" applyBorder="1" applyAlignment="1">
      <alignment horizontal="left" vertical="center"/>
    </xf>
    <xf numFmtId="41" fontId="31" fillId="20" borderId="11" xfId="0" applyNumberFormat="1" applyFont="1" applyFill="1" applyBorder="1" applyAlignment="1">
      <alignment horizontal="left" vertical="center"/>
    </xf>
    <xf numFmtId="41" fontId="13" fillId="24" borderId="14" xfId="0" applyNumberFormat="1" applyFont="1" applyFill="1" applyBorder="1" applyAlignment="1">
      <alignment vertical="center"/>
    </xf>
    <xf numFmtId="41" fontId="31" fillId="20" borderId="14" xfId="0" applyNumberFormat="1" applyFont="1" applyFill="1" applyBorder="1" applyAlignment="1">
      <alignment vertical="center"/>
    </xf>
    <xf numFmtId="41" fontId="13" fillId="20" borderId="11" xfId="0" applyNumberFormat="1" applyFont="1" applyFill="1" applyBorder="1" applyAlignment="1">
      <alignment vertical="center"/>
    </xf>
    <xf numFmtId="10" fontId="90" fillId="0" borderId="11" xfId="131" applyNumberFormat="1" applyFont="1" applyFill="1" applyBorder="1" applyAlignment="1">
      <alignment horizontal="right" vertical="center"/>
      <protection/>
    </xf>
    <xf numFmtId="3" fontId="2" fillId="0" borderId="0" xfId="0" applyNumberFormat="1" applyFont="1" applyFill="1" applyAlignment="1">
      <alignment/>
    </xf>
    <xf numFmtId="3" fontId="0" fillId="0" borderId="0" xfId="0" applyNumberFormat="1" applyFont="1" applyFill="1" applyBorder="1" applyAlignment="1">
      <alignment/>
    </xf>
    <xf numFmtId="3" fontId="10" fillId="0" borderId="0" xfId="0" applyNumberFormat="1" applyFont="1" applyFill="1" applyBorder="1" applyAlignment="1">
      <alignment/>
    </xf>
    <xf numFmtId="3" fontId="0" fillId="0" borderId="0" xfId="0" applyNumberFormat="1" applyFont="1" applyFill="1" applyBorder="1" applyAlignment="1">
      <alignment/>
    </xf>
    <xf numFmtId="3" fontId="35" fillId="0" borderId="0" xfId="0" applyNumberFormat="1" applyFont="1" applyFill="1" applyBorder="1" applyAlignment="1">
      <alignment/>
    </xf>
    <xf numFmtId="3" fontId="25" fillId="0" borderId="0" xfId="0" applyNumberFormat="1" applyFont="1" applyFill="1" applyBorder="1" applyAlignment="1">
      <alignment/>
    </xf>
    <xf numFmtId="49" fontId="10" fillId="0" borderId="11" xfId="0" applyNumberFormat="1" applyFont="1" applyFill="1" applyBorder="1" applyAlignment="1">
      <alignment wrapText="1"/>
    </xf>
    <xf numFmtId="41" fontId="10" fillId="24" borderId="11" xfId="0" applyNumberFormat="1" applyFont="1" applyFill="1" applyBorder="1" applyAlignment="1">
      <alignment/>
    </xf>
    <xf numFmtId="41" fontId="11" fillId="24" borderId="11" xfId="0" applyNumberFormat="1" applyFont="1" applyFill="1" applyBorder="1" applyAlignment="1">
      <alignment/>
    </xf>
    <xf numFmtId="41" fontId="10" fillId="24" borderId="31" xfId="0" applyNumberFormat="1" applyFont="1" applyFill="1" applyBorder="1" applyAlignment="1">
      <alignment/>
    </xf>
    <xf numFmtId="49" fontId="11" fillId="20" borderId="11" xfId="0" applyNumberFormat="1" applyFont="1" applyFill="1" applyBorder="1" applyAlignment="1">
      <alignment horizontal="center"/>
    </xf>
    <xf numFmtId="49" fontId="11" fillId="20" borderId="11" xfId="0" applyNumberFormat="1" applyFont="1" applyFill="1" applyBorder="1" applyAlignment="1">
      <alignment wrapText="1"/>
    </xf>
    <xf numFmtId="41" fontId="11" fillId="20" borderId="11" xfId="0" applyNumberFormat="1" applyFont="1" applyFill="1" applyBorder="1" applyAlignment="1">
      <alignment/>
    </xf>
    <xf numFmtId="49" fontId="10" fillId="20" borderId="11" xfId="0" applyNumberFormat="1" applyFont="1" applyFill="1" applyBorder="1" applyAlignment="1">
      <alignment horizontal="center"/>
    </xf>
    <xf numFmtId="49" fontId="10" fillId="0" borderId="31" xfId="0" applyNumberFormat="1" applyFont="1" applyFill="1" applyBorder="1" applyAlignment="1">
      <alignment horizontal="center"/>
    </xf>
    <xf numFmtId="49" fontId="10" fillId="0" borderId="31" xfId="0" applyNumberFormat="1" applyFont="1" applyFill="1" applyBorder="1" applyAlignment="1">
      <alignment wrapText="1"/>
    </xf>
    <xf numFmtId="0" fontId="28"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0" fontId="20" fillId="0" borderId="0" xfId="0" applyNumberFormat="1" applyFont="1" applyFill="1" applyBorder="1" applyAlignment="1">
      <alignment horizontal="center"/>
    </xf>
    <xf numFmtId="0" fontId="20" fillId="0" borderId="0" xfId="0" applyNumberFormat="1" applyFont="1" applyFill="1" applyBorder="1" applyAlignment="1">
      <alignment/>
    </xf>
    <xf numFmtId="0" fontId="20" fillId="0" borderId="0" xfId="0" applyNumberFormat="1" applyFont="1" applyFill="1" applyAlignment="1">
      <alignment/>
    </xf>
    <xf numFmtId="3" fontId="10" fillId="0" borderId="0" xfId="0" applyNumberFormat="1" applyFont="1" applyFill="1" applyAlignment="1">
      <alignment/>
    </xf>
    <xf numFmtId="3" fontId="11" fillId="0" borderId="0" xfId="0" applyNumberFormat="1" applyFont="1" applyFill="1" applyAlignment="1">
      <alignment/>
    </xf>
    <xf numFmtId="10" fontId="24" fillId="0" borderId="11" xfId="131" applyNumberFormat="1" applyFont="1" applyFill="1" applyBorder="1" applyAlignment="1">
      <alignment horizontal="right" vertical="center"/>
      <protection/>
    </xf>
    <xf numFmtId="37" fontId="11" fillId="20" borderId="11" xfId="0" applyNumberFormat="1" applyFont="1" applyFill="1" applyBorder="1" applyAlignment="1">
      <alignment horizontal="right" vertical="center"/>
    </xf>
    <xf numFmtId="37" fontId="11" fillId="20" borderId="12" xfId="0" applyNumberFormat="1" applyFont="1" applyFill="1" applyBorder="1" applyAlignment="1">
      <alignment horizontal="right" vertical="center"/>
    </xf>
    <xf numFmtId="37" fontId="10" fillId="24" borderId="12" xfId="0" applyNumberFormat="1" applyFont="1" applyFill="1" applyBorder="1" applyAlignment="1">
      <alignment horizontal="right" vertical="center"/>
    </xf>
    <xf numFmtId="37" fontId="10" fillId="24" borderId="11" xfId="0" applyNumberFormat="1" applyFont="1" applyFill="1" applyBorder="1" applyAlignment="1">
      <alignment horizontal="right" vertical="center"/>
    </xf>
    <xf numFmtId="37" fontId="10" fillId="25" borderId="11" xfId="0" applyNumberFormat="1" applyFont="1" applyFill="1" applyBorder="1" applyAlignment="1">
      <alignment horizontal="right" vertical="center"/>
    </xf>
    <xf numFmtId="37" fontId="11" fillId="20" borderId="17" xfId="0" applyNumberFormat="1" applyFont="1" applyFill="1" applyBorder="1" applyAlignment="1">
      <alignment horizontal="right" vertical="center"/>
    </xf>
    <xf numFmtId="37" fontId="11" fillId="20" borderId="14" xfId="0" applyNumberFormat="1" applyFont="1" applyFill="1" applyBorder="1" applyAlignment="1">
      <alignment horizontal="right" vertical="center"/>
    </xf>
    <xf numFmtId="37" fontId="10" fillId="24" borderId="14" xfId="0" applyNumberFormat="1" applyFont="1" applyFill="1" applyBorder="1" applyAlignment="1">
      <alignment horizontal="right" vertical="center"/>
    </xf>
    <xf numFmtId="0" fontId="20" fillId="0" borderId="0" xfId="0" applyFont="1" applyFill="1" applyBorder="1" applyAlignment="1">
      <alignment/>
    </xf>
    <xf numFmtId="0" fontId="28" fillId="0" borderId="10" xfId="0" applyFont="1" applyFill="1" applyBorder="1" applyAlignment="1">
      <alignment/>
    </xf>
    <xf numFmtId="0" fontId="20" fillId="0" borderId="0" xfId="0" applyFont="1" applyFill="1" applyAlignment="1">
      <alignment/>
    </xf>
    <xf numFmtId="0" fontId="28" fillId="0" borderId="10" xfId="0" applyFont="1" applyFill="1" applyBorder="1" applyAlignment="1">
      <alignment wrapText="1"/>
    </xf>
    <xf numFmtId="0" fontId="20" fillId="0" borderId="0" xfId="0" applyNumberFormat="1" applyFont="1" applyFill="1" applyAlignment="1">
      <alignment/>
    </xf>
    <xf numFmtId="0" fontId="20" fillId="0" borderId="0" xfId="0" applyNumberFormat="1" applyFont="1" applyFill="1" applyBorder="1" applyAlignment="1">
      <alignment wrapText="1"/>
    </xf>
    <xf numFmtId="0" fontId="19" fillId="0" borderId="0" xfId="0" applyNumberFormat="1" applyFont="1" applyFill="1" applyBorder="1" applyAlignment="1">
      <alignment horizontal="center" wrapText="1"/>
    </xf>
    <xf numFmtId="0" fontId="20" fillId="0" borderId="0" xfId="0" applyNumberFormat="1" applyFont="1" applyFill="1" applyAlignment="1">
      <alignment wrapText="1"/>
    </xf>
    <xf numFmtId="0" fontId="20" fillId="0" borderId="0" xfId="0" applyNumberFormat="1" applyFont="1" applyFill="1" applyBorder="1" applyAlignment="1">
      <alignment/>
    </xf>
    <xf numFmtId="3" fontId="19" fillId="0" borderId="0" xfId="0" applyNumberFormat="1" applyFont="1" applyFill="1" applyAlignment="1">
      <alignment horizontal="center"/>
    </xf>
    <xf numFmtId="0" fontId="93" fillId="0" borderId="0" xfId="0" applyNumberFormat="1" applyFont="1" applyFill="1" applyAlignment="1">
      <alignment/>
    </xf>
    <xf numFmtId="3" fontId="31" fillId="0" borderId="0" xfId="0" applyNumberFormat="1" applyFont="1" applyFill="1" applyAlignment="1">
      <alignment horizontal="center"/>
    </xf>
    <xf numFmtId="37" fontId="0" fillId="24" borderId="12" xfId="0" applyNumberFormat="1" applyFont="1" applyFill="1" applyBorder="1" applyAlignment="1">
      <alignment horizontal="right" vertical="center"/>
    </xf>
    <xf numFmtId="37" fontId="0" fillId="24" borderId="11" xfId="0" applyNumberFormat="1" applyFont="1" applyFill="1" applyBorder="1" applyAlignment="1">
      <alignment horizontal="right" vertical="center"/>
    </xf>
    <xf numFmtId="37" fontId="0" fillId="25" borderId="11" xfId="0" applyNumberFormat="1" applyFont="1" applyFill="1" applyBorder="1" applyAlignment="1">
      <alignment horizontal="right" vertical="center"/>
    </xf>
    <xf numFmtId="37" fontId="7" fillId="20" borderId="17" xfId="0" applyNumberFormat="1" applyFont="1" applyFill="1" applyBorder="1" applyAlignment="1">
      <alignment horizontal="right" vertical="center"/>
    </xf>
    <xf numFmtId="37" fontId="7" fillId="20" borderId="11" xfId="0" applyNumberFormat="1" applyFont="1" applyFill="1" applyBorder="1" applyAlignment="1">
      <alignment horizontal="right" vertical="center"/>
    </xf>
    <xf numFmtId="37" fontId="0" fillId="24" borderId="14" xfId="0" applyNumberFormat="1" applyFont="1" applyFill="1" applyBorder="1" applyAlignment="1">
      <alignment horizontal="right" vertical="center"/>
    </xf>
    <xf numFmtId="37" fontId="0" fillId="24" borderId="11" xfId="0" applyNumberFormat="1" applyFont="1" applyFill="1" applyBorder="1" applyAlignment="1">
      <alignment horizontal="right" vertical="center"/>
    </xf>
    <xf numFmtId="49" fontId="28" fillId="0" borderId="0" xfId="0" applyNumberFormat="1" applyFont="1" applyBorder="1" applyAlignment="1">
      <alignment horizontal="left" wrapText="1"/>
    </xf>
    <xf numFmtId="0" fontId="28" fillId="0" borderId="0" xfId="0" applyNumberFormat="1" applyFont="1" applyBorder="1" applyAlignment="1">
      <alignment horizontal="center" wrapText="1"/>
    </xf>
    <xf numFmtId="0" fontId="19" fillId="0" borderId="0" xfId="0" applyNumberFormat="1" applyFont="1" applyBorder="1" applyAlignment="1">
      <alignment horizontal="center"/>
    </xf>
    <xf numFmtId="0" fontId="20" fillId="0" borderId="0" xfId="0" applyFont="1" applyAlignment="1">
      <alignment horizontal="center"/>
    </xf>
    <xf numFmtId="2" fontId="19" fillId="0" borderId="0" xfId="0" applyNumberFormat="1" applyFont="1" applyAlignment="1">
      <alignment horizontal="center"/>
    </xf>
    <xf numFmtId="49" fontId="20" fillId="0" borderId="0" xfId="0" applyNumberFormat="1" applyFont="1" applyBorder="1" applyAlignment="1">
      <alignment horizontal="center"/>
    </xf>
    <xf numFmtId="49" fontId="20" fillId="0" borderId="0" xfId="0" applyNumberFormat="1" applyFont="1" applyAlignment="1">
      <alignment/>
    </xf>
    <xf numFmtId="49" fontId="20" fillId="0" borderId="0" xfId="0" applyNumberFormat="1" applyFont="1" applyAlignment="1">
      <alignment horizontal="center"/>
    </xf>
    <xf numFmtId="0" fontId="19" fillId="0" borderId="0" xfId="0" applyNumberFormat="1" applyFont="1" applyAlignment="1">
      <alignment horizontal="left"/>
    </xf>
    <xf numFmtId="0" fontId="19" fillId="0" borderId="0" xfId="0" applyNumberFormat="1" applyFont="1" applyAlignment="1">
      <alignment horizontal="center"/>
    </xf>
    <xf numFmtId="49" fontId="19" fillId="0" borderId="0" xfId="0" applyNumberFormat="1" applyFont="1" applyAlignment="1">
      <alignment/>
    </xf>
    <xf numFmtId="0" fontId="28" fillId="0" borderId="10" xfId="0" applyNumberFormat="1" applyFont="1" applyFill="1" applyBorder="1" applyAlignment="1">
      <alignment horizontal="center" vertical="center" wrapText="1"/>
    </xf>
    <xf numFmtId="0" fontId="19" fillId="0" borderId="0" xfId="0" applyNumberFormat="1" applyFont="1" applyFill="1" applyAlignment="1">
      <alignment horizontal="center" vertical="center"/>
    </xf>
    <xf numFmtId="0" fontId="19" fillId="0" borderId="0" xfId="0" applyNumberFormat="1" applyFont="1" applyFill="1" applyBorder="1" applyAlignment="1">
      <alignment horizontal="center" vertical="center"/>
    </xf>
    <xf numFmtId="0" fontId="20" fillId="0" borderId="0" xfId="0" applyNumberFormat="1" applyFont="1" applyFill="1" applyAlignment="1">
      <alignment vertical="center"/>
    </xf>
    <xf numFmtId="0" fontId="20" fillId="0" borderId="0" xfId="0" applyNumberFormat="1" applyFont="1" applyFill="1" applyAlignment="1">
      <alignment horizontal="left" vertical="center"/>
    </xf>
    <xf numFmtId="0" fontId="20" fillId="0" borderId="0" xfId="0" applyNumberFormat="1" applyFont="1" applyFill="1" applyBorder="1" applyAlignment="1">
      <alignment vertical="center"/>
    </xf>
    <xf numFmtId="0" fontId="20" fillId="0" borderId="0" xfId="0" applyNumberFormat="1" applyFont="1" applyFill="1" applyBorder="1" applyAlignment="1">
      <alignment horizontal="center" vertical="center"/>
    </xf>
    <xf numFmtId="0" fontId="20" fillId="0" borderId="0" xfId="0" applyNumberFormat="1" applyFont="1" applyFill="1" applyAlignment="1">
      <alignment horizontal="center" vertical="center"/>
    </xf>
    <xf numFmtId="0" fontId="19" fillId="0" borderId="0" xfId="0" applyNumberFormat="1" applyFont="1" applyFill="1" applyAlignment="1">
      <alignment vertical="center"/>
    </xf>
    <xf numFmtId="0" fontId="28" fillId="0" borderId="0" xfId="0" applyNumberFormat="1" applyFont="1" applyFill="1" applyBorder="1" applyAlignment="1">
      <alignment horizontal="center" vertical="center"/>
    </xf>
    <xf numFmtId="41" fontId="10" fillId="24" borderId="11" xfId="0" applyNumberFormat="1" applyFont="1" applyFill="1" applyBorder="1" applyAlignment="1" applyProtection="1">
      <alignment horizontal="center" vertical="center"/>
      <protection/>
    </xf>
    <xf numFmtId="41" fontId="10" fillId="25" borderId="11" xfId="0" applyNumberFormat="1" applyFont="1" applyFill="1" applyBorder="1" applyAlignment="1" applyProtection="1">
      <alignment horizontal="center" vertical="center"/>
      <protection/>
    </xf>
    <xf numFmtId="41" fontId="10" fillId="24" borderId="11" xfId="147" applyNumberFormat="1" applyFont="1" applyFill="1" applyBorder="1" applyAlignment="1" applyProtection="1">
      <alignment horizontal="center" vertical="center"/>
      <protection/>
    </xf>
    <xf numFmtId="41" fontId="11" fillId="20" borderId="11" xfId="0" applyNumberFormat="1" applyFont="1" applyFill="1" applyBorder="1" applyAlignment="1">
      <alignment horizontal="center"/>
    </xf>
    <xf numFmtId="41" fontId="11" fillId="5" borderId="14" xfId="0" applyNumberFormat="1" applyFont="1" applyFill="1" applyBorder="1" applyAlignment="1">
      <alignment horizontal="center" vertical="center"/>
    </xf>
    <xf numFmtId="0" fontId="10" fillId="0" borderId="31" xfId="0" applyNumberFormat="1" applyFont="1" applyBorder="1" applyAlignment="1">
      <alignment vertical="center"/>
    </xf>
    <xf numFmtId="41" fontId="10" fillId="24" borderId="31" xfId="0" applyNumberFormat="1" applyFont="1" applyFill="1" applyBorder="1" applyAlignment="1" applyProtection="1">
      <alignment horizontal="center" vertical="center"/>
      <protection/>
    </xf>
    <xf numFmtId="41" fontId="10" fillId="25" borderId="31" xfId="0" applyNumberFormat="1" applyFont="1" applyFill="1" applyBorder="1" applyAlignment="1" applyProtection="1">
      <alignment horizontal="center" vertical="center"/>
      <protection/>
    </xf>
    <xf numFmtId="41" fontId="10" fillId="24" borderId="31" xfId="147" applyNumberFormat="1" applyFont="1" applyFill="1" applyBorder="1" applyAlignment="1" applyProtection="1">
      <alignment horizontal="center" vertical="center"/>
      <protection/>
    </xf>
    <xf numFmtId="41" fontId="11" fillId="20" borderId="31" xfId="0" applyNumberFormat="1" applyFont="1" applyFill="1" applyBorder="1" applyAlignment="1">
      <alignment horizontal="center"/>
    </xf>
    <xf numFmtId="0" fontId="10" fillId="0" borderId="16" xfId="0" applyFont="1" applyBorder="1" applyAlignment="1">
      <alignment horizontal="left" vertical="center"/>
    </xf>
    <xf numFmtId="0" fontId="10" fillId="0" borderId="32" xfId="0" applyFont="1" applyBorder="1" applyAlignment="1">
      <alignment horizontal="left" vertical="center"/>
    </xf>
    <xf numFmtId="0" fontId="10" fillId="24" borderId="28" xfId="0" applyFont="1" applyFill="1" applyBorder="1" applyAlignment="1">
      <alignment horizontal="left" vertical="center"/>
    </xf>
    <xf numFmtId="41" fontId="10" fillId="24" borderId="14" xfId="0" applyNumberFormat="1" applyFont="1" applyFill="1" applyBorder="1" applyAlignment="1" applyProtection="1">
      <alignment horizontal="center" vertical="center"/>
      <protection/>
    </xf>
    <xf numFmtId="41" fontId="10" fillId="25" borderId="14" xfId="0" applyNumberFormat="1" applyFont="1" applyFill="1" applyBorder="1" applyAlignment="1" applyProtection="1">
      <alignment horizontal="center" vertical="center"/>
      <protection/>
    </xf>
    <xf numFmtId="0" fontId="10" fillId="24" borderId="16" xfId="0" applyFont="1" applyFill="1" applyBorder="1" applyAlignment="1">
      <alignment horizontal="left" vertical="center"/>
    </xf>
    <xf numFmtId="0" fontId="10" fillId="24" borderId="12" xfId="0" applyFont="1" applyFill="1" applyBorder="1" applyAlignment="1">
      <alignment horizontal="left" vertical="center"/>
    </xf>
    <xf numFmtId="0" fontId="10" fillId="24" borderId="31" xfId="0" applyFont="1" applyFill="1" applyBorder="1" applyAlignment="1">
      <alignment horizontal="left" vertical="center"/>
    </xf>
    <xf numFmtId="41" fontId="11" fillId="20" borderId="11" xfId="0" applyNumberFormat="1" applyFont="1" applyFill="1" applyBorder="1" applyAlignment="1">
      <alignment horizontal="center" vertical="center"/>
    </xf>
    <xf numFmtId="41" fontId="11" fillId="20" borderId="31" xfId="0" applyNumberFormat="1" applyFont="1" applyFill="1" applyBorder="1" applyAlignment="1">
      <alignment horizontal="center" vertical="center"/>
    </xf>
    <xf numFmtId="0" fontId="10" fillId="0" borderId="12" xfId="0" applyFont="1" applyBorder="1" applyAlignment="1">
      <alignment horizontal="left" vertical="center"/>
    </xf>
    <xf numFmtId="0" fontId="10" fillId="24" borderId="11" xfId="0" applyFont="1" applyFill="1" applyBorder="1" applyAlignment="1">
      <alignment horizontal="left" vertical="center"/>
    </xf>
    <xf numFmtId="0" fontId="10" fillId="24" borderId="30" xfId="0" applyFont="1" applyFill="1" applyBorder="1" applyAlignment="1">
      <alignment horizontal="left" vertical="center"/>
    </xf>
    <xf numFmtId="41" fontId="10" fillId="24" borderId="12" xfId="0" applyNumberFormat="1" applyFont="1" applyFill="1" applyBorder="1" applyAlignment="1" applyProtection="1">
      <alignment horizontal="center" vertical="center"/>
      <protection/>
    </xf>
    <xf numFmtId="41" fontId="10" fillId="25" borderId="12" xfId="0" applyNumberFormat="1" applyFont="1" applyFill="1" applyBorder="1" applyAlignment="1" applyProtection="1">
      <alignment horizontal="center" vertical="center"/>
      <protection/>
    </xf>
    <xf numFmtId="41" fontId="10" fillId="24" borderId="12" xfId="147" applyNumberFormat="1" applyFont="1" applyFill="1" applyBorder="1" applyAlignment="1" applyProtection="1">
      <alignment horizontal="center" vertical="center"/>
      <protection/>
    </xf>
    <xf numFmtId="41" fontId="11" fillId="20" borderId="12" xfId="0" applyNumberFormat="1" applyFont="1" applyFill="1" applyBorder="1" applyAlignment="1">
      <alignment horizontal="center" vertical="center"/>
    </xf>
    <xf numFmtId="0" fontId="20" fillId="0" borderId="0" xfId="0" applyNumberFormat="1" applyFont="1" applyFill="1" applyBorder="1" applyAlignment="1">
      <alignment horizontal="center" wrapText="1"/>
    </xf>
    <xf numFmtId="0" fontId="19" fillId="0" borderId="0" xfId="0" applyNumberFormat="1" applyFont="1" applyFill="1" applyBorder="1" applyAlignment="1">
      <alignment/>
    </xf>
    <xf numFmtId="0" fontId="19" fillId="0" borderId="0" xfId="0" applyNumberFormat="1" applyFont="1" applyFill="1" applyAlignment="1">
      <alignment/>
    </xf>
    <xf numFmtId="0" fontId="13" fillId="0" borderId="11" xfId="0" applyFont="1" applyBorder="1" applyAlignment="1">
      <alignment horizontal="left" vertical="center"/>
    </xf>
    <xf numFmtId="3" fontId="139" fillId="24" borderId="11" xfId="0" applyNumberFormat="1" applyFont="1" applyFill="1" applyBorder="1" applyAlignment="1" applyProtection="1">
      <alignment horizontal="center" vertical="center"/>
      <protection/>
    </xf>
    <xf numFmtId="3" fontId="139" fillId="25" borderId="11" xfId="0" applyNumberFormat="1" applyFont="1" applyFill="1" applyBorder="1" applyAlignment="1" applyProtection="1">
      <alignment horizontal="center" vertical="center"/>
      <protection/>
    </xf>
    <xf numFmtId="3" fontId="139" fillId="24" borderId="11" xfId="147" applyNumberFormat="1" applyFont="1" applyFill="1" applyBorder="1" applyAlignment="1" applyProtection="1">
      <alignment horizontal="center" vertical="center"/>
      <protection/>
    </xf>
    <xf numFmtId="3" fontId="139" fillId="20" borderId="11" xfId="0" applyNumberFormat="1" applyFont="1" applyFill="1" applyBorder="1" applyAlignment="1">
      <alignment horizontal="center"/>
    </xf>
    <xf numFmtId="3" fontId="139" fillId="5" borderId="11" xfId="0" applyNumberFormat="1" applyFont="1" applyFill="1" applyBorder="1" applyAlignment="1">
      <alignment horizontal="center" vertical="center"/>
    </xf>
    <xf numFmtId="4" fontId="140" fillId="24" borderId="11" xfId="0" applyNumberFormat="1" applyFont="1" applyFill="1" applyBorder="1" applyAlignment="1">
      <alignment horizontal="center" vertical="center"/>
    </xf>
    <xf numFmtId="0" fontId="13" fillId="0" borderId="11" xfId="0" applyFont="1" applyFill="1" applyBorder="1" applyAlignment="1">
      <alignment horizontal="left" vertical="center"/>
    </xf>
    <xf numFmtId="0" fontId="13" fillId="0" borderId="31" xfId="0" applyFont="1" applyBorder="1" applyAlignment="1">
      <alignment horizontal="left" vertical="center"/>
    </xf>
    <xf numFmtId="3" fontId="139" fillId="20" borderId="31" xfId="0" applyNumberFormat="1" applyFont="1" applyFill="1" applyBorder="1" applyAlignment="1" applyProtection="1">
      <alignment horizontal="center" vertical="center"/>
      <protection/>
    </xf>
    <xf numFmtId="3" fontId="139" fillId="24" borderId="31" xfId="0" applyNumberFormat="1" applyFont="1" applyFill="1" applyBorder="1" applyAlignment="1" applyProtection="1">
      <alignment horizontal="center" vertical="center"/>
      <protection/>
    </xf>
    <xf numFmtId="3" fontId="139" fillId="25" borderId="31" xfId="0" applyNumberFormat="1" applyFont="1" applyFill="1" applyBorder="1" applyAlignment="1" applyProtection="1">
      <alignment horizontal="center" vertical="center"/>
      <protection/>
    </xf>
    <xf numFmtId="3" fontId="139" fillId="24" borderId="31" xfId="147" applyNumberFormat="1" applyFont="1" applyFill="1" applyBorder="1" applyAlignment="1" applyProtection="1">
      <alignment horizontal="center" vertical="center"/>
      <protection/>
    </xf>
    <xf numFmtId="3" fontId="139" fillId="20" borderId="31" xfId="0" applyNumberFormat="1" applyFont="1" applyFill="1" applyBorder="1" applyAlignment="1">
      <alignment horizontal="center"/>
    </xf>
    <xf numFmtId="3" fontId="139" fillId="5" borderId="31" xfId="0" applyNumberFormat="1" applyFont="1" applyFill="1" applyBorder="1" applyAlignment="1">
      <alignment horizontal="center" vertical="center"/>
    </xf>
    <xf numFmtId="4" fontId="140" fillId="24" borderId="31" xfId="0" applyNumberFormat="1" applyFont="1" applyFill="1" applyBorder="1" applyAlignment="1">
      <alignment horizontal="center" vertical="center"/>
    </xf>
    <xf numFmtId="3" fontId="139" fillId="24" borderId="11" xfId="0" applyNumberFormat="1" applyFont="1" applyFill="1" applyBorder="1" applyAlignment="1" applyProtection="1">
      <alignment horizontal="center" vertical="center"/>
      <protection/>
    </xf>
    <xf numFmtId="3" fontId="139" fillId="25" borderId="11" xfId="0" applyNumberFormat="1" applyFont="1" applyFill="1" applyBorder="1" applyAlignment="1" applyProtection="1">
      <alignment horizontal="center" vertical="center"/>
      <protection/>
    </xf>
    <xf numFmtId="3" fontId="139" fillId="24" borderId="11" xfId="147" applyNumberFormat="1" applyFont="1" applyFill="1" applyBorder="1" applyAlignment="1" applyProtection="1">
      <alignment horizontal="center" vertical="center"/>
      <protection/>
    </xf>
    <xf numFmtId="3" fontId="139" fillId="20" borderId="11" xfId="0" applyNumberFormat="1" applyFont="1" applyFill="1" applyBorder="1" applyAlignment="1">
      <alignment horizontal="center"/>
    </xf>
    <xf numFmtId="0" fontId="13" fillId="0" borderId="31" xfId="0" applyNumberFormat="1" applyFont="1" applyBorder="1" applyAlignment="1">
      <alignment vertical="center"/>
    </xf>
    <xf numFmtId="3" fontId="139" fillId="24" borderId="31" xfId="0" applyNumberFormat="1" applyFont="1" applyFill="1" applyBorder="1" applyAlignment="1" applyProtection="1">
      <alignment horizontal="center" vertical="center"/>
      <protection/>
    </xf>
    <xf numFmtId="3" fontId="139" fillId="25" borderId="31" xfId="0" applyNumberFormat="1" applyFont="1" applyFill="1" applyBorder="1" applyAlignment="1" applyProtection="1">
      <alignment horizontal="center" vertical="center"/>
      <protection/>
    </xf>
    <xf numFmtId="3" fontId="139" fillId="24" borderId="31" xfId="147" applyNumberFormat="1" applyFont="1" applyFill="1" applyBorder="1" applyAlignment="1" applyProtection="1">
      <alignment horizontal="center" vertical="center"/>
      <protection/>
    </xf>
    <xf numFmtId="3" fontId="139" fillId="20" borderId="31" xfId="0" applyNumberFormat="1" applyFont="1" applyFill="1" applyBorder="1" applyAlignment="1">
      <alignment horizontal="center"/>
    </xf>
    <xf numFmtId="0" fontId="13" fillId="0" borderId="16" xfId="0" applyFont="1" applyBorder="1" applyAlignment="1">
      <alignment horizontal="left" vertical="center"/>
    </xf>
    <xf numFmtId="0" fontId="13" fillId="0" borderId="32" xfId="0" applyFont="1" applyBorder="1" applyAlignment="1">
      <alignment horizontal="left" vertical="center"/>
    </xf>
    <xf numFmtId="0" fontId="13" fillId="24" borderId="28" xfId="0" applyFont="1" applyFill="1" applyBorder="1" applyAlignment="1">
      <alignment horizontal="left" vertical="center"/>
    </xf>
    <xf numFmtId="3" fontId="143" fillId="24" borderId="14" xfId="0" applyNumberFormat="1" applyFont="1" applyFill="1" applyBorder="1" applyAlignment="1" applyProtection="1">
      <alignment horizontal="center" vertical="center"/>
      <protection/>
    </xf>
    <xf numFmtId="3" fontId="143" fillId="25" borderId="14" xfId="0" applyNumberFormat="1" applyFont="1" applyFill="1" applyBorder="1" applyAlignment="1" applyProtection="1">
      <alignment horizontal="center" vertical="center"/>
      <protection/>
    </xf>
    <xf numFmtId="3" fontId="139" fillId="24" borderId="14" xfId="0" applyNumberFormat="1" applyFont="1" applyFill="1" applyBorder="1" applyAlignment="1" applyProtection="1">
      <alignment horizontal="center" vertical="center"/>
      <protection/>
    </xf>
    <xf numFmtId="0" fontId="13" fillId="24" borderId="16" xfId="0" applyFont="1" applyFill="1" applyBorder="1" applyAlignment="1">
      <alignment horizontal="left" vertical="center"/>
    </xf>
    <xf numFmtId="0" fontId="13" fillId="24" borderId="12" xfId="0" applyFont="1" applyFill="1" applyBorder="1" applyAlignment="1">
      <alignment horizontal="left" vertical="center"/>
    </xf>
    <xf numFmtId="0" fontId="13" fillId="24" borderId="31" xfId="0" applyFont="1" applyFill="1" applyBorder="1" applyAlignment="1">
      <alignment horizontal="left" vertical="center"/>
    </xf>
    <xf numFmtId="3" fontId="143" fillId="24" borderId="31" xfId="0" applyNumberFormat="1" applyFont="1" applyFill="1" applyBorder="1" applyAlignment="1" applyProtection="1">
      <alignment horizontal="center" vertical="center"/>
      <protection/>
    </xf>
    <xf numFmtId="3" fontId="143" fillId="25" borderId="31" xfId="0" applyNumberFormat="1" applyFont="1" applyFill="1" applyBorder="1" applyAlignment="1" applyProtection="1">
      <alignment horizontal="center" vertical="center"/>
      <protection/>
    </xf>
    <xf numFmtId="3" fontId="139" fillId="20" borderId="31" xfId="0" applyNumberFormat="1" applyFont="1" applyFill="1" applyBorder="1" applyAlignment="1">
      <alignment horizontal="center" vertical="center"/>
    </xf>
    <xf numFmtId="0" fontId="13" fillId="0" borderId="12" xfId="0" applyFont="1" applyBorder="1" applyAlignment="1">
      <alignment horizontal="left" vertical="center"/>
    </xf>
    <xf numFmtId="0" fontId="13" fillId="24" borderId="11" xfId="0" applyFont="1" applyFill="1" applyBorder="1" applyAlignment="1">
      <alignment horizontal="left" vertical="center"/>
    </xf>
    <xf numFmtId="0" fontId="13" fillId="24" borderId="30" xfId="0" applyFont="1" applyFill="1" applyBorder="1" applyAlignment="1">
      <alignment horizontal="left" vertical="center"/>
    </xf>
    <xf numFmtId="49" fontId="11" fillId="24" borderId="11" xfId="0" applyNumberFormat="1" applyFont="1" applyFill="1" applyBorder="1" applyAlignment="1">
      <alignment horizontal="left" vertical="center"/>
    </xf>
    <xf numFmtId="41" fontId="11" fillId="25" borderId="11" xfId="0" applyNumberFormat="1" applyFont="1" applyFill="1" applyBorder="1" applyAlignment="1" applyProtection="1">
      <alignment horizontal="center" vertical="center"/>
      <protection hidden="1"/>
    </xf>
    <xf numFmtId="41" fontId="11" fillId="8" borderId="11" xfId="0" applyNumberFormat="1" applyFont="1" applyFill="1" applyBorder="1" applyAlignment="1" applyProtection="1">
      <alignment horizontal="center" vertical="center"/>
      <protection hidden="1"/>
    </xf>
    <xf numFmtId="41" fontId="10" fillId="0" borderId="11" xfId="96" applyNumberFormat="1" applyFont="1" applyBorder="1" applyAlignment="1" applyProtection="1">
      <alignment horizontal="center" vertical="center"/>
      <protection hidden="1"/>
    </xf>
    <xf numFmtId="49" fontId="11" fillId="20" borderId="11" xfId="0" applyNumberFormat="1" applyFont="1" applyFill="1" applyBorder="1" applyAlignment="1">
      <alignment horizontal="left" vertical="center"/>
    </xf>
    <xf numFmtId="0" fontId="8" fillId="0" borderId="11" xfId="96" applyNumberFormat="1" applyFont="1" applyBorder="1" applyAlignment="1" applyProtection="1">
      <alignment horizontal="center" vertical="center"/>
      <protection hidden="1"/>
    </xf>
    <xf numFmtId="3" fontId="8" fillId="0" borderId="11" xfId="96" applyNumberFormat="1" applyFont="1" applyBorder="1" applyAlignment="1" applyProtection="1">
      <alignment horizontal="center" vertical="center"/>
      <protection hidden="1"/>
    </xf>
    <xf numFmtId="41" fontId="8" fillId="0" borderId="11" xfId="96" applyNumberFormat="1" applyFont="1" applyBorder="1" applyAlignment="1" applyProtection="1">
      <alignment horizontal="center" vertical="center"/>
      <protection hidden="1"/>
    </xf>
    <xf numFmtId="49" fontId="10" fillId="24" borderId="31" xfId="0" applyNumberFormat="1" applyFont="1" applyFill="1" applyBorder="1" applyAlignment="1">
      <alignment horizontal="left" vertical="center"/>
    </xf>
    <xf numFmtId="41" fontId="11" fillId="20" borderId="31" xfId="0" applyNumberFormat="1" applyFont="1" applyFill="1" applyBorder="1" applyAlignment="1" applyProtection="1">
      <alignment horizontal="center" vertical="center"/>
      <protection hidden="1"/>
    </xf>
    <xf numFmtId="41" fontId="11" fillId="25" borderId="31" xfId="0" applyNumberFormat="1" applyFont="1" applyFill="1" applyBorder="1" applyAlignment="1" applyProtection="1">
      <alignment horizontal="center" vertical="center"/>
      <protection hidden="1"/>
    </xf>
    <xf numFmtId="41" fontId="11" fillId="8" borderId="31" xfId="0" applyNumberFormat="1" applyFont="1" applyFill="1" applyBorder="1" applyAlignment="1" applyProtection="1">
      <alignment horizontal="center" vertical="center"/>
      <protection hidden="1"/>
    </xf>
    <xf numFmtId="41" fontId="10" fillId="0" borderId="31" xfId="96" applyNumberFormat="1" applyFont="1" applyBorder="1" applyAlignment="1" applyProtection="1">
      <alignment horizontal="center" vertical="center"/>
      <protection hidden="1"/>
    </xf>
    <xf numFmtId="0" fontId="20" fillId="0" borderId="0" xfId="137" applyNumberFormat="1" applyFont="1" applyFill="1" applyBorder="1" applyAlignment="1">
      <alignment horizontal="center" wrapText="1"/>
      <protection/>
    </xf>
    <xf numFmtId="0" fontId="93" fillId="0" borderId="0" xfId="137" applyNumberFormat="1" applyFont="1" applyFill="1" applyBorder="1">
      <alignment/>
      <protection/>
    </xf>
    <xf numFmtId="0" fontId="19" fillId="0" borderId="0" xfId="137" applyNumberFormat="1" applyFont="1" applyFill="1" applyBorder="1" applyAlignment="1">
      <alignment horizontal="center" wrapText="1"/>
      <protection/>
    </xf>
    <xf numFmtId="0" fontId="144" fillId="0" borderId="0" xfId="137" applyNumberFormat="1" applyFont="1" applyFill="1" applyBorder="1">
      <alignment/>
      <protection/>
    </xf>
    <xf numFmtId="0" fontId="20" fillId="0" borderId="0" xfId="137" applyNumberFormat="1" applyFont="1" applyFill="1">
      <alignment/>
      <protection/>
    </xf>
    <xf numFmtId="0" fontId="20" fillId="0" borderId="33" xfId="135" applyNumberFormat="1" applyFont="1" applyFill="1" applyBorder="1" applyAlignment="1" applyProtection="1">
      <alignment horizontal="center" vertical="center"/>
      <protection/>
    </xf>
    <xf numFmtId="49" fontId="11" fillId="0" borderId="11" xfId="0" applyNumberFormat="1" applyFont="1" applyFill="1" applyBorder="1" applyAlignment="1">
      <alignment horizontal="left" vertical="center"/>
    </xf>
    <xf numFmtId="41" fontId="10" fillId="0" borderId="11" xfId="0" applyNumberFormat="1" applyFont="1" applyFill="1" applyBorder="1" applyAlignment="1" applyProtection="1">
      <alignment horizontal="center" vertical="center" wrapText="1"/>
      <protection hidden="1"/>
    </xf>
    <xf numFmtId="49" fontId="17" fillId="20" borderId="11" xfId="0" applyNumberFormat="1" applyFont="1" applyFill="1" applyBorder="1" applyAlignment="1">
      <alignment horizontal="left" vertical="center"/>
    </xf>
    <xf numFmtId="41" fontId="11" fillId="20" borderId="31" xfId="0" applyNumberFormat="1" applyFont="1" applyFill="1" applyBorder="1" applyAlignment="1" applyProtection="1">
      <alignment horizontal="center"/>
      <protection hidden="1"/>
    </xf>
    <xf numFmtId="41" fontId="10" fillId="0" borderId="31" xfId="0" applyNumberFormat="1" applyFont="1" applyFill="1" applyBorder="1" applyAlignment="1" applyProtection="1">
      <alignment horizontal="center" vertical="center" wrapText="1"/>
      <protection hidden="1"/>
    </xf>
    <xf numFmtId="41" fontId="11" fillId="20" borderId="31" xfId="0" applyNumberFormat="1" applyFont="1" applyFill="1" applyBorder="1" applyAlignment="1" applyProtection="1">
      <alignment horizontal="center" vertical="center" wrapText="1"/>
      <protection hidden="1"/>
    </xf>
    <xf numFmtId="41" fontId="10" fillId="20" borderId="11" xfId="0" applyNumberFormat="1" applyFont="1" applyFill="1" applyBorder="1" applyAlignment="1" applyProtection="1">
      <alignment horizontal="center" vertical="center" wrapText="1"/>
      <protection hidden="1"/>
    </xf>
    <xf numFmtId="41" fontId="10" fillId="0" borderId="11" xfId="0" applyNumberFormat="1" applyFont="1" applyFill="1" applyBorder="1" applyAlignment="1" applyProtection="1">
      <alignment/>
      <protection hidden="1"/>
    </xf>
    <xf numFmtId="41" fontId="10" fillId="0" borderId="31" xfId="0" applyNumberFormat="1" applyFont="1" applyFill="1" applyBorder="1" applyAlignment="1" applyProtection="1">
      <alignment/>
      <protection hidden="1"/>
    </xf>
    <xf numFmtId="41" fontId="10" fillId="0" borderId="11" xfId="0" applyNumberFormat="1" applyFont="1" applyFill="1" applyBorder="1" applyAlignment="1" applyProtection="1">
      <alignment horizontal="center"/>
      <protection hidden="1"/>
    </xf>
    <xf numFmtId="41" fontId="10" fillId="0" borderId="31" xfId="0" applyNumberFormat="1" applyFont="1" applyFill="1" applyBorder="1" applyAlignment="1" applyProtection="1">
      <alignment horizontal="center"/>
      <protection hidden="1"/>
    </xf>
    <xf numFmtId="49" fontId="20" fillId="0" borderId="0" xfId="137" applyNumberFormat="1" applyFont="1" applyFill="1" applyAlignment="1">
      <alignment wrapText="1"/>
      <protection/>
    </xf>
    <xf numFmtId="49" fontId="19" fillId="0" borderId="0" xfId="137" applyNumberFormat="1" applyFont="1" applyFill="1" applyAlignment="1">
      <alignment/>
      <protection/>
    </xf>
    <xf numFmtId="49" fontId="20" fillId="0" borderId="0" xfId="137" applyNumberFormat="1" applyFont="1" applyFill="1">
      <alignment/>
      <protection/>
    </xf>
    <xf numFmtId="0" fontId="20" fillId="0" borderId="0" xfId="140" applyNumberFormat="1" applyFont="1" applyFill="1" applyBorder="1" applyAlignment="1">
      <alignment/>
      <protection/>
    </xf>
    <xf numFmtId="0" fontId="19" fillId="0" borderId="0" xfId="140" applyNumberFormat="1" applyFont="1" applyFill="1" applyBorder="1" applyAlignment="1">
      <alignment horizontal="center" wrapText="1"/>
      <protection/>
    </xf>
    <xf numFmtId="0" fontId="19" fillId="0" borderId="0" xfId="140" applyNumberFormat="1" applyFont="1" applyFill="1" applyBorder="1" applyAlignment="1">
      <alignment/>
      <protection/>
    </xf>
    <xf numFmtId="0" fontId="19" fillId="0" borderId="0" xfId="140" applyNumberFormat="1" applyFont="1" applyFill="1" applyBorder="1" applyAlignment="1">
      <alignment horizontal="center"/>
      <protection/>
    </xf>
    <xf numFmtId="0" fontId="20" fillId="0" borderId="0" xfId="140" applyNumberFormat="1" applyFont="1" applyFill="1" applyAlignment="1">
      <alignment horizontal="center"/>
      <protection/>
    </xf>
    <xf numFmtId="0" fontId="20" fillId="0" borderId="0" xfId="140" applyNumberFormat="1" applyFont="1" applyFill="1">
      <alignment/>
      <protection/>
    </xf>
    <xf numFmtId="0" fontId="111" fillId="0" borderId="0" xfId="140" applyNumberFormat="1" applyFont="1" applyFill="1" applyAlignment="1">
      <alignment horizontal="center"/>
      <protection/>
    </xf>
    <xf numFmtId="41" fontId="10" fillId="20" borderId="28" xfId="139" applyNumberFormat="1" applyFont="1" applyFill="1" applyBorder="1" applyAlignment="1" applyProtection="1">
      <alignment horizontal="center" vertical="center" wrapText="1"/>
      <protection hidden="1"/>
    </xf>
    <xf numFmtId="41" fontId="10" fillId="24" borderId="11" xfId="139" applyNumberFormat="1" applyFont="1" applyFill="1" applyBorder="1" applyAlignment="1" applyProtection="1">
      <alignment horizontal="left" vertical="center"/>
      <protection hidden="1"/>
    </xf>
    <xf numFmtId="41" fontId="10" fillId="20" borderId="14" xfId="139" applyNumberFormat="1" applyFont="1" applyFill="1" applyBorder="1" applyAlignment="1" applyProtection="1">
      <alignment horizontal="center" vertical="center"/>
      <protection hidden="1"/>
    </xf>
    <xf numFmtId="41" fontId="10" fillId="24" borderId="11" xfId="139" applyNumberFormat="1" applyFont="1" applyFill="1" applyBorder="1" applyAlignment="1" applyProtection="1">
      <alignment vertical="center"/>
      <protection hidden="1"/>
    </xf>
    <xf numFmtId="41" fontId="10" fillId="20" borderId="11" xfId="139" applyNumberFormat="1" applyFont="1" applyFill="1" applyBorder="1" applyAlignment="1" applyProtection="1">
      <alignment horizontal="center" vertical="center"/>
      <protection hidden="1"/>
    </xf>
    <xf numFmtId="41" fontId="10" fillId="24" borderId="16" xfId="139" applyNumberFormat="1" applyFont="1" applyFill="1" applyBorder="1" applyAlignment="1" applyProtection="1">
      <alignment horizontal="left" vertical="center"/>
      <protection hidden="1"/>
    </xf>
    <xf numFmtId="41" fontId="10" fillId="20" borderId="31" xfId="139" applyNumberFormat="1" applyFont="1" applyFill="1" applyBorder="1" applyAlignment="1" applyProtection="1">
      <alignment horizontal="center" vertical="center" wrapText="1"/>
      <protection hidden="1"/>
    </xf>
    <xf numFmtId="41" fontId="10" fillId="24" borderId="34" xfId="139" applyNumberFormat="1" applyFont="1" applyFill="1" applyBorder="1" applyAlignment="1" applyProtection="1">
      <alignment horizontal="left" vertical="center"/>
      <protection hidden="1"/>
    </xf>
    <xf numFmtId="41" fontId="10" fillId="20" borderId="31" xfId="139" applyNumberFormat="1" applyFont="1" applyFill="1" applyBorder="1" applyAlignment="1" applyProtection="1">
      <alignment horizontal="center" vertical="center"/>
      <protection hidden="1"/>
    </xf>
    <xf numFmtId="41" fontId="10" fillId="24" borderId="31" xfId="139" applyNumberFormat="1" applyFont="1" applyFill="1" applyBorder="1" applyAlignment="1" applyProtection="1">
      <alignment vertical="center"/>
      <protection hidden="1"/>
    </xf>
    <xf numFmtId="41" fontId="10" fillId="20" borderId="32" xfId="139" applyNumberFormat="1" applyFont="1" applyFill="1" applyBorder="1" applyAlignment="1" applyProtection="1">
      <alignment horizontal="center" vertical="center"/>
      <protection hidden="1"/>
    </xf>
    <xf numFmtId="41" fontId="10" fillId="24" borderId="11" xfId="139" applyNumberFormat="1" applyFont="1" applyFill="1" applyBorder="1" applyAlignment="1" applyProtection="1">
      <alignment horizontal="center" vertical="center"/>
      <protection hidden="1"/>
    </xf>
    <xf numFmtId="41" fontId="13" fillId="24" borderId="11" xfId="139" applyNumberFormat="1" applyFont="1" applyFill="1" applyBorder="1" applyAlignment="1" applyProtection="1">
      <alignment horizontal="center" vertical="center"/>
      <protection hidden="1"/>
    </xf>
    <xf numFmtId="41" fontId="31" fillId="20" borderId="11" xfId="139" applyNumberFormat="1" applyFont="1" applyFill="1" applyBorder="1" applyAlignment="1" applyProtection="1">
      <alignment horizontal="center" vertical="center"/>
      <protection hidden="1"/>
    </xf>
    <xf numFmtId="41" fontId="10" fillId="0" borderId="11" xfId="139" applyNumberFormat="1" applyFont="1" applyBorder="1" applyAlignment="1" applyProtection="1">
      <alignment horizontal="center" vertical="center"/>
      <protection hidden="1"/>
    </xf>
    <xf numFmtId="41" fontId="13" fillId="20" borderId="11" xfId="139" applyNumberFormat="1" applyFont="1" applyFill="1" applyBorder="1" applyAlignment="1" applyProtection="1">
      <alignment horizontal="center" vertical="center"/>
      <protection hidden="1"/>
    </xf>
    <xf numFmtId="41" fontId="32" fillId="0" borderId="11" xfId="139" applyNumberFormat="1" applyFont="1" applyBorder="1" applyAlignment="1" applyProtection="1">
      <alignment horizontal="center" vertical="center"/>
      <protection hidden="1"/>
    </xf>
    <xf numFmtId="41" fontId="10" fillId="24" borderId="16" xfId="139" applyNumberFormat="1" applyFont="1" applyFill="1" applyBorder="1" applyAlignment="1" applyProtection="1">
      <alignment horizontal="center" vertical="center"/>
      <protection hidden="1"/>
    </xf>
    <xf numFmtId="41" fontId="10" fillId="24" borderId="34" xfId="139" applyNumberFormat="1" applyFont="1" applyFill="1" applyBorder="1" applyAlignment="1" applyProtection="1">
      <alignment horizontal="center" vertical="center"/>
      <protection hidden="1"/>
    </xf>
    <xf numFmtId="41" fontId="13" fillId="24" borderId="31" xfId="139" applyNumberFormat="1" applyFont="1" applyFill="1" applyBorder="1" applyAlignment="1" applyProtection="1">
      <alignment horizontal="center" vertical="center"/>
      <protection hidden="1"/>
    </xf>
    <xf numFmtId="41" fontId="13" fillId="20" borderId="31" xfId="139" applyNumberFormat="1" applyFont="1" applyFill="1" applyBorder="1" applyAlignment="1" applyProtection="1">
      <alignment horizontal="center" vertical="center"/>
      <protection hidden="1"/>
    </xf>
    <xf numFmtId="41" fontId="10" fillId="0" borderId="31" xfId="139" applyNumberFormat="1" applyFont="1" applyBorder="1" applyAlignment="1" applyProtection="1">
      <alignment horizontal="center" vertical="center"/>
      <protection hidden="1"/>
    </xf>
    <xf numFmtId="41" fontId="32" fillId="0" borderId="31" xfId="139" applyNumberFormat="1" applyFont="1" applyBorder="1" applyAlignment="1" applyProtection="1">
      <alignment horizontal="center" vertical="center"/>
      <protection hidden="1"/>
    </xf>
    <xf numFmtId="0" fontId="28" fillId="0" borderId="0" xfId="140" applyNumberFormat="1" applyFont="1" applyFill="1" applyBorder="1" applyAlignment="1">
      <alignment/>
      <protection/>
    </xf>
    <xf numFmtId="0" fontId="146" fillId="0" borderId="0" xfId="140" applyFont="1" applyFill="1">
      <alignment/>
      <protection/>
    </xf>
    <xf numFmtId="0" fontId="20" fillId="0" borderId="0" xfId="140" applyFont="1" applyFill="1" applyBorder="1" applyAlignment="1">
      <alignment wrapText="1"/>
      <protection/>
    </xf>
    <xf numFmtId="0" fontId="111" fillId="0" borderId="0" xfId="140" applyFont="1" applyFill="1">
      <alignment/>
      <protection/>
    </xf>
    <xf numFmtId="49" fontId="20" fillId="0" borderId="0" xfId="140" applyNumberFormat="1" applyFont="1" applyFill="1" applyAlignment="1">
      <alignment horizontal="center"/>
      <protection/>
    </xf>
    <xf numFmtId="0" fontId="20" fillId="0" borderId="0" xfId="140" applyFont="1" applyFill="1">
      <alignment/>
      <protection/>
    </xf>
    <xf numFmtId="0" fontId="19" fillId="0" borderId="0" xfId="140" applyFont="1" applyFill="1" applyBorder="1" applyAlignment="1">
      <alignment horizontal="center"/>
      <protection/>
    </xf>
    <xf numFmtId="0" fontId="19" fillId="0" borderId="0" xfId="137" applyFont="1" applyFill="1" applyAlignment="1">
      <alignment/>
      <protection/>
    </xf>
    <xf numFmtId="49" fontId="111" fillId="0" borderId="0" xfId="140" applyNumberFormat="1" applyFont="1" applyFill="1">
      <alignment/>
      <protection/>
    </xf>
    <xf numFmtId="49" fontId="11" fillId="20" borderId="14" xfId="139" applyNumberFormat="1" applyFont="1" applyFill="1" applyBorder="1" applyAlignment="1">
      <alignment horizontal="center" vertical="center"/>
      <protection/>
    </xf>
    <xf numFmtId="49" fontId="11" fillId="20" borderId="11" xfId="139" applyNumberFormat="1" applyFont="1" applyFill="1" applyBorder="1" applyAlignment="1">
      <alignment horizontal="left" vertical="center"/>
      <protection/>
    </xf>
    <xf numFmtId="41" fontId="11" fillId="20" borderId="11" xfId="139" applyNumberFormat="1" applyFont="1" applyFill="1" applyBorder="1" applyAlignment="1" applyProtection="1">
      <alignment horizontal="right" vertical="center"/>
      <protection hidden="1"/>
    </xf>
    <xf numFmtId="49" fontId="20" fillId="0" borderId="0" xfId="140" applyNumberFormat="1" applyFont="1" applyFill="1" applyBorder="1" applyAlignment="1">
      <alignment/>
      <protection/>
    </xf>
    <xf numFmtId="49" fontId="20" fillId="0" borderId="0" xfId="140" applyNumberFormat="1" applyFont="1" applyFill="1" applyBorder="1" applyAlignment="1">
      <alignment wrapText="1"/>
      <protection/>
    </xf>
    <xf numFmtId="49" fontId="19" fillId="0" borderId="0" xfId="140" applyNumberFormat="1" applyFont="1" applyFill="1" applyBorder="1" applyAlignment="1">
      <alignment/>
      <protection/>
    </xf>
    <xf numFmtId="49" fontId="20" fillId="0" borderId="0" xfId="140" applyNumberFormat="1" applyFont="1" applyFill="1">
      <alignment/>
      <protection/>
    </xf>
    <xf numFmtId="49" fontId="28" fillId="0" borderId="0" xfId="140" applyNumberFormat="1" applyFont="1" applyFill="1">
      <alignment/>
      <protection/>
    </xf>
    <xf numFmtId="0" fontId="28" fillId="0" borderId="0" xfId="140" applyNumberFormat="1" applyFont="1" applyFill="1">
      <alignment/>
      <protection/>
    </xf>
    <xf numFmtId="37" fontId="11" fillId="20" borderId="11" xfId="139" applyNumberFormat="1" applyFont="1" applyFill="1" applyBorder="1" applyAlignment="1" applyProtection="1">
      <alignment horizontal="center" vertical="center"/>
      <protection hidden="1"/>
    </xf>
    <xf numFmtId="41" fontId="10" fillId="0" borderId="17" xfId="139" applyNumberFormat="1" applyFont="1" applyBorder="1" applyAlignment="1" applyProtection="1">
      <alignment vertical="center"/>
      <protection hidden="1"/>
    </xf>
    <xf numFmtId="37" fontId="11" fillId="20" borderId="31" xfId="139" applyNumberFormat="1" applyFont="1" applyFill="1" applyBorder="1" applyAlignment="1" applyProtection="1">
      <alignment horizontal="center" vertical="center"/>
      <protection hidden="1"/>
    </xf>
    <xf numFmtId="41" fontId="10" fillId="0" borderId="35" xfId="139" applyNumberFormat="1" applyFont="1" applyBorder="1" applyAlignment="1" applyProtection="1">
      <alignment vertical="center"/>
      <protection hidden="1"/>
    </xf>
    <xf numFmtId="0" fontId="146" fillId="0" borderId="0" xfId="140" applyNumberFormat="1" applyFont="1" applyFill="1">
      <alignment/>
      <protection/>
    </xf>
    <xf numFmtId="41" fontId="10" fillId="0" borderId="11" xfId="139" applyNumberFormat="1" applyFont="1" applyFill="1" applyBorder="1" applyAlignment="1" applyProtection="1">
      <alignment vertical="center"/>
      <protection hidden="1"/>
    </xf>
    <xf numFmtId="41" fontId="32" fillId="0" borderId="11" xfId="139" applyNumberFormat="1" applyFont="1" applyFill="1" applyBorder="1" applyAlignment="1" applyProtection="1">
      <alignment vertical="center"/>
      <protection hidden="1"/>
    </xf>
    <xf numFmtId="41" fontId="32" fillId="0" borderId="11" xfId="139" applyNumberFormat="1" applyFont="1" applyBorder="1" applyAlignment="1" applyProtection="1">
      <alignment vertical="center"/>
      <protection hidden="1"/>
    </xf>
    <xf numFmtId="41" fontId="32" fillId="0" borderId="31" xfId="139" applyNumberFormat="1" applyFont="1" applyBorder="1" applyAlignment="1" applyProtection="1">
      <alignment vertical="center"/>
      <protection hidden="1"/>
    </xf>
    <xf numFmtId="0" fontId="39" fillId="0" borderId="0" xfId="140" applyNumberFormat="1" applyFont="1" applyFill="1" applyAlignment="1">
      <alignment horizontal="left"/>
      <protection/>
    </xf>
    <xf numFmtId="0" fontId="28" fillId="0" borderId="0" xfId="140" applyNumberFormat="1" applyFont="1" applyFill="1" applyAlignment="1">
      <alignment/>
      <protection/>
    </xf>
    <xf numFmtId="41" fontId="10" fillId="0" borderId="31" xfId="140" applyNumberFormat="1" applyFont="1" applyFill="1" applyBorder="1" applyAlignment="1">
      <alignment horizontal="center" vertical="center"/>
      <protection/>
    </xf>
    <xf numFmtId="41" fontId="31" fillId="20" borderId="11" xfId="139" applyNumberFormat="1" applyFont="1" applyFill="1" applyBorder="1" applyAlignment="1" applyProtection="1">
      <alignment horizontal="center"/>
      <protection hidden="1"/>
    </xf>
    <xf numFmtId="41" fontId="13" fillId="0" borderId="11" xfId="139" applyNumberFormat="1" applyFont="1" applyBorder="1" applyAlignment="1" applyProtection="1">
      <alignment vertical="center"/>
      <protection hidden="1"/>
    </xf>
    <xf numFmtId="41" fontId="31" fillId="20" borderId="31" xfId="139" applyNumberFormat="1" applyFont="1" applyFill="1" applyBorder="1" applyAlignment="1" applyProtection="1">
      <alignment horizontal="center" vertical="center"/>
      <protection hidden="1"/>
    </xf>
    <xf numFmtId="41" fontId="13" fillId="0" borderId="31" xfId="139" applyNumberFormat="1" applyFont="1" applyBorder="1" applyAlignment="1" applyProtection="1">
      <alignment vertical="center"/>
      <protection hidden="1"/>
    </xf>
    <xf numFmtId="0" fontId="19" fillId="0" borderId="0" xfId="140" applyNumberFormat="1" applyFont="1" applyFill="1">
      <alignment/>
      <protection/>
    </xf>
    <xf numFmtId="0" fontId="20" fillId="0" borderId="0" xfId="140" applyNumberFormat="1" applyFont="1" applyFill="1" applyBorder="1" applyAlignment="1">
      <alignment wrapText="1"/>
      <protection/>
    </xf>
    <xf numFmtId="3" fontId="0" fillId="0" borderId="0" xfId="0" applyNumberFormat="1" applyAlignment="1">
      <alignment/>
    </xf>
    <xf numFmtId="41" fontId="10" fillId="0" borderId="11" xfId="0" applyNumberFormat="1" applyFont="1" applyBorder="1" applyAlignment="1">
      <alignment horizontal="center"/>
    </xf>
    <xf numFmtId="3" fontId="10" fillId="24" borderId="11" xfId="135" applyNumberFormat="1" applyFont="1" applyFill="1" applyBorder="1" applyAlignment="1" applyProtection="1">
      <alignment horizontal="center" vertical="center"/>
      <protection/>
    </xf>
    <xf numFmtId="41" fontId="10" fillId="0" borderId="31" xfId="0" applyNumberFormat="1" applyFont="1" applyBorder="1" applyAlignment="1">
      <alignment horizontal="center"/>
    </xf>
    <xf numFmtId="49" fontId="0" fillId="0" borderId="0" xfId="136" applyNumberFormat="1" applyFont="1" applyFill="1" applyBorder="1" applyAlignment="1">
      <alignment horizontal="left" wrapText="1"/>
      <protection/>
    </xf>
    <xf numFmtId="49" fontId="11" fillId="0" borderId="13" xfId="136" applyNumberFormat="1" applyFont="1" applyFill="1" applyBorder="1" applyAlignment="1">
      <alignment horizontal="center" vertical="center" wrapText="1"/>
      <protection/>
    </xf>
    <xf numFmtId="49" fontId="20" fillId="0" borderId="0" xfId="136" applyNumberFormat="1" applyFont="1" applyFill="1" applyBorder="1" applyAlignment="1">
      <alignment horizontal="center" vertical="center" wrapText="1"/>
      <protection/>
    </xf>
    <xf numFmtId="49" fontId="18" fillId="0" borderId="0" xfId="136" applyNumberFormat="1" applyFont="1" applyFill="1" applyAlignment="1">
      <alignment horizontal="left" wrapText="1"/>
      <protection/>
    </xf>
    <xf numFmtId="49" fontId="18" fillId="0" borderId="0" xfId="136" applyNumberFormat="1" applyFont="1" applyFill="1" applyAlignment="1">
      <alignment horizontal="center" wrapText="1"/>
      <protection/>
    </xf>
    <xf numFmtId="49" fontId="73" fillId="3" borderId="17" xfId="136" applyNumberFormat="1" applyFont="1" applyFill="1" applyBorder="1" applyAlignment="1">
      <alignment horizontal="center" vertical="center" wrapText="1"/>
      <protection/>
    </xf>
    <xf numFmtId="49" fontId="73" fillId="3" borderId="16" xfId="136" applyNumberFormat="1" applyFont="1" applyFill="1" applyBorder="1" applyAlignment="1">
      <alignment horizontal="center" vertical="center" wrapText="1"/>
      <protection/>
    </xf>
    <xf numFmtId="49" fontId="0" fillId="0" borderId="0" xfId="136" applyNumberFormat="1" applyFont="1" applyFill="1" applyBorder="1" applyAlignment="1">
      <alignment horizontal="left"/>
      <protection/>
    </xf>
    <xf numFmtId="49" fontId="7" fillId="0" borderId="0" xfId="136" applyNumberFormat="1" applyFont="1" applyFill="1" applyBorder="1" applyAlignment="1">
      <alignment horizontal="left"/>
      <protection/>
    </xf>
    <xf numFmtId="49" fontId="7" fillId="0" borderId="0" xfId="136" applyNumberFormat="1" applyFont="1" applyFill="1" applyBorder="1" applyAlignment="1">
      <alignment horizontal="left" wrapText="1"/>
      <protection/>
    </xf>
    <xf numFmtId="49" fontId="11" fillId="0" borderId="30" xfId="136" applyNumberFormat="1" applyFont="1" applyFill="1" applyBorder="1" applyAlignment="1">
      <alignment horizontal="center" vertical="center" wrapText="1"/>
      <protection/>
    </xf>
    <xf numFmtId="49" fontId="11" fillId="0" borderId="14" xfId="136" applyNumberFormat="1" applyFont="1" applyFill="1" applyBorder="1" applyAlignment="1">
      <alignment horizontal="center" vertical="center" wrapText="1"/>
      <protection/>
    </xf>
    <xf numFmtId="49" fontId="7" fillId="0" borderId="11" xfId="136" applyNumberFormat="1" applyFont="1" applyFill="1" applyBorder="1" applyAlignment="1">
      <alignment horizontal="center"/>
      <protection/>
    </xf>
    <xf numFmtId="0" fontId="11" fillId="0" borderId="18" xfId="136" applyNumberFormat="1" applyFont="1" applyFill="1" applyBorder="1" applyAlignment="1">
      <alignment horizontal="center" vertical="center" wrapText="1"/>
      <protection/>
    </xf>
    <xf numFmtId="0" fontId="11" fillId="0" borderId="28" xfId="136" applyNumberFormat="1" applyFont="1" applyFill="1" applyBorder="1" applyAlignment="1">
      <alignment horizontal="center" vertical="center" wrapText="1"/>
      <protection/>
    </xf>
    <xf numFmtId="0" fontId="11" fillId="0" borderId="26" xfId="136" applyNumberFormat="1" applyFont="1" applyFill="1" applyBorder="1" applyAlignment="1">
      <alignment horizontal="center" vertical="center" wrapText="1"/>
      <protection/>
    </xf>
    <xf numFmtId="0" fontId="11" fillId="0" borderId="27" xfId="136" applyNumberFormat="1" applyFont="1" applyFill="1" applyBorder="1" applyAlignment="1">
      <alignment horizontal="center" vertical="center" wrapText="1"/>
      <protection/>
    </xf>
    <xf numFmtId="0" fontId="11" fillId="0" borderId="15" xfId="136" applyNumberFormat="1" applyFont="1" applyFill="1" applyBorder="1" applyAlignment="1">
      <alignment horizontal="center" vertical="center" wrapText="1"/>
      <protection/>
    </xf>
    <xf numFmtId="0" fontId="11" fillId="0" borderId="36" xfId="136" applyNumberFormat="1" applyFont="1" applyFill="1" applyBorder="1" applyAlignment="1">
      <alignment horizontal="center" vertical="center" wrapText="1"/>
      <protection/>
    </xf>
    <xf numFmtId="49" fontId="7" fillId="0" borderId="0" xfId="136" applyNumberFormat="1" applyFont="1" applyFill="1" applyAlignment="1">
      <alignment horizontal="center" vertical="top" wrapText="1"/>
      <protection/>
    </xf>
    <xf numFmtId="49" fontId="74" fillId="3" borderId="17" xfId="136" applyNumberFormat="1" applyFont="1" applyFill="1" applyBorder="1" applyAlignment="1">
      <alignment horizontal="center" vertical="center" wrapText="1"/>
      <protection/>
    </xf>
    <xf numFmtId="49" fontId="74" fillId="3" borderId="16" xfId="136" applyNumberFormat="1" applyFont="1" applyFill="1" applyBorder="1" applyAlignment="1">
      <alignment horizontal="center" vertical="center" wrapText="1"/>
      <protection/>
    </xf>
    <xf numFmtId="49" fontId="12" fillId="22" borderId="17" xfId="136" applyNumberFormat="1" applyFont="1" applyFill="1" applyBorder="1" applyAlignment="1">
      <alignment horizontal="center"/>
      <protection/>
    </xf>
    <xf numFmtId="49" fontId="12" fillId="22" borderId="16" xfId="136" applyNumberFormat="1" applyFont="1" applyFill="1" applyBorder="1" applyAlignment="1">
      <alignment horizontal="center"/>
      <protection/>
    </xf>
    <xf numFmtId="49" fontId="26" fillId="0" borderId="17" xfId="136" applyNumberFormat="1" applyFont="1" applyFill="1" applyBorder="1" applyAlignment="1">
      <alignment horizontal="center" vertical="center" wrapText="1"/>
      <protection/>
    </xf>
    <xf numFmtId="49" fontId="26" fillId="0" borderId="16" xfId="136" applyNumberFormat="1" applyFont="1" applyFill="1" applyBorder="1" applyAlignment="1">
      <alignment horizontal="center" vertical="center" wrapText="1"/>
      <protection/>
    </xf>
    <xf numFmtId="49" fontId="23"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11" fillId="0" borderId="16" xfId="136" applyNumberFormat="1" applyFont="1" applyFill="1" applyBorder="1" applyAlignment="1">
      <alignment horizontal="center" vertical="center" wrapText="1"/>
      <protection/>
    </xf>
    <xf numFmtId="49" fontId="11" fillId="0" borderId="17" xfId="136" applyNumberFormat="1" applyFont="1" applyFill="1" applyBorder="1" applyAlignment="1">
      <alignment horizontal="center" vertical="center" wrapText="1"/>
      <protection/>
    </xf>
    <xf numFmtId="49" fontId="11" fillId="0" borderId="37" xfId="136" applyNumberFormat="1" applyFont="1" applyFill="1" applyBorder="1" applyAlignment="1">
      <alignment horizontal="center" vertical="center" wrapText="1"/>
      <protection/>
    </xf>
    <xf numFmtId="0" fontId="62" fillId="3" borderId="16" xfId="136" applyNumberFormat="1" applyFont="1" applyFill="1" applyBorder="1" applyAlignment="1">
      <alignment horizontal="center" vertical="center" wrapText="1"/>
      <protection/>
    </xf>
    <xf numFmtId="49" fontId="7" fillId="0" borderId="0" xfId="136" applyNumberFormat="1" applyFont="1" applyFill="1" applyAlignment="1">
      <alignment horizontal="left"/>
      <protection/>
    </xf>
    <xf numFmtId="49" fontId="11" fillId="0" borderId="11" xfId="136" applyNumberFormat="1" applyFont="1" applyFill="1" applyBorder="1" applyAlignment="1">
      <alignment horizontal="center" vertical="center" wrapText="1"/>
      <protection/>
    </xf>
    <xf numFmtId="49" fontId="19" fillId="24" borderId="0" xfId="136" applyNumberFormat="1" applyFont="1" applyFill="1" applyAlignment="1">
      <alignment horizontal="center" vertical="center" wrapText="1"/>
      <protection/>
    </xf>
    <xf numFmtId="49" fontId="7" fillId="0" borderId="0" xfId="136" applyNumberFormat="1" applyFont="1" applyAlignment="1">
      <alignment horizontal="left"/>
      <protection/>
    </xf>
    <xf numFmtId="0" fontId="30" fillId="0" borderId="0" xfId="136" applyFont="1" applyAlignment="1">
      <alignment horizontal="center"/>
      <protection/>
    </xf>
    <xf numFmtId="49" fontId="30" fillId="24" borderId="0" xfId="136" applyNumberFormat="1" applyFont="1" applyFill="1" applyAlignment="1">
      <alignment horizontal="center"/>
      <protection/>
    </xf>
    <xf numFmtId="49" fontId="12" fillId="0" borderId="16" xfId="136" applyNumberFormat="1" applyFont="1" applyFill="1" applyBorder="1" applyAlignment="1">
      <alignment horizontal="center" vertical="center" wrapText="1"/>
      <protection/>
    </xf>
    <xf numFmtId="0" fontId="12" fillId="0" borderId="26" xfId="136" applyNumberFormat="1" applyFont="1" applyBorder="1" applyAlignment="1">
      <alignment horizontal="center" vertical="center" wrapText="1"/>
      <protection/>
    </xf>
    <xf numFmtId="0" fontId="12" fillId="0" borderId="27" xfId="136" applyNumberFormat="1" applyFont="1" applyBorder="1" applyAlignment="1">
      <alignment horizontal="center" vertical="center" wrapText="1"/>
      <protection/>
    </xf>
    <xf numFmtId="0" fontId="12" fillId="0" borderId="15" xfId="136" applyNumberFormat="1" applyFont="1" applyBorder="1" applyAlignment="1">
      <alignment horizontal="center" vertical="center" wrapText="1"/>
      <protection/>
    </xf>
    <xf numFmtId="0" fontId="12" fillId="0" borderId="36" xfId="136" applyNumberFormat="1" applyFont="1" applyBorder="1" applyAlignment="1">
      <alignment horizontal="center" vertical="center" wrapText="1"/>
      <protection/>
    </xf>
    <xf numFmtId="49" fontId="12" fillId="22" borderId="17" xfId="136" applyNumberFormat="1" applyFont="1" applyFill="1" applyBorder="1" applyAlignment="1">
      <alignment horizontal="center" vertical="center"/>
      <protection/>
    </xf>
    <xf numFmtId="49" fontId="12" fillId="22" borderId="16" xfId="136" applyNumberFormat="1" applyFont="1" applyFill="1" applyBorder="1" applyAlignment="1">
      <alignment horizontal="center" vertical="center"/>
      <protection/>
    </xf>
    <xf numFmtId="0" fontId="62" fillId="3" borderId="17" xfId="136" applyNumberFormat="1" applyFont="1" applyFill="1" applyBorder="1" applyAlignment="1">
      <alignment horizontal="center" vertical="center" wrapText="1"/>
      <protection/>
    </xf>
    <xf numFmtId="49" fontId="23" fillId="0" borderId="13" xfId="136" applyNumberFormat="1" applyFont="1" applyFill="1" applyBorder="1" applyAlignment="1">
      <alignment horizontal="center" vertical="center"/>
      <protection/>
    </xf>
    <xf numFmtId="49" fontId="12" fillId="0" borderId="11" xfId="136" applyNumberFormat="1" applyFont="1" applyFill="1" applyBorder="1" applyAlignment="1">
      <alignment horizontal="center" vertical="center" wrapText="1"/>
      <protection/>
    </xf>
    <xf numFmtId="49" fontId="23" fillId="0" borderId="0" xfId="136" applyNumberFormat="1" applyFont="1" applyAlignment="1">
      <alignment horizontal="left"/>
      <protection/>
    </xf>
    <xf numFmtId="49" fontId="0" fillId="0" borderId="0" xfId="136" applyNumberFormat="1" applyFont="1" applyBorder="1" applyAlignment="1">
      <alignment horizontal="left" wrapText="1"/>
      <protection/>
    </xf>
    <xf numFmtId="49" fontId="7" fillId="0" borderId="0" xfId="136" applyNumberFormat="1" applyFont="1" applyBorder="1" applyAlignment="1">
      <alignment horizontal="left" wrapText="1"/>
      <protection/>
    </xf>
    <xf numFmtId="49" fontId="37" fillId="0" borderId="0" xfId="136" applyNumberFormat="1" applyFont="1" applyBorder="1" applyAlignment="1">
      <alignment horizontal="center" wrapText="1"/>
      <protection/>
    </xf>
    <xf numFmtId="0" fontId="61" fillId="3" borderId="17" xfId="136" applyNumberFormat="1" applyFont="1" applyFill="1" applyBorder="1" applyAlignment="1">
      <alignment horizontal="center" vertical="center" wrapText="1"/>
      <protection/>
    </xf>
    <xf numFmtId="0" fontId="61" fillId="3" borderId="16" xfId="136" applyNumberFormat="1" applyFont="1" applyFill="1" applyBorder="1" applyAlignment="1">
      <alignment horizontal="center" vertical="center" wrapText="1"/>
      <protection/>
    </xf>
    <xf numFmtId="49" fontId="0" fillId="0" borderId="0" xfId="136" applyNumberFormat="1" applyFont="1" applyAlignment="1">
      <alignment horizontal="left"/>
      <protection/>
    </xf>
    <xf numFmtId="49" fontId="39" fillId="0" borderId="0" xfId="136" applyNumberFormat="1" applyFont="1" applyAlignment="1">
      <alignment horizontal="center"/>
      <protection/>
    </xf>
    <xf numFmtId="49" fontId="34" fillId="0" borderId="0" xfId="136" applyNumberFormat="1" applyFont="1" applyAlignment="1">
      <alignment horizontal="center" wrapText="1"/>
      <protection/>
    </xf>
    <xf numFmtId="49" fontId="30" fillId="0" borderId="0" xfId="136" applyNumberFormat="1" applyFont="1" applyAlignment="1">
      <alignment horizontal="center"/>
      <protection/>
    </xf>
    <xf numFmtId="0" fontId="21" fillId="0" borderId="11" xfId="136" applyNumberFormat="1" applyFont="1" applyBorder="1" applyAlignment="1">
      <alignment horizontal="center" vertical="center" wrapText="1"/>
      <protection/>
    </xf>
    <xf numFmtId="49" fontId="0" fillId="3" borderId="27" xfId="136" applyNumberFormat="1" applyFont="1" applyFill="1" applyBorder="1" applyAlignment="1">
      <alignment horizontal="center"/>
      <protection/>
    </xf>
    <xf numFmtId="3" fontId="40" fillId="24" borderId="30" xfId="136" applyNumberFormat="1" applyFont="1" applyFill="1" applyBorder="1" applyAlignment="1" applyProtection="1">
      <alignment horizontal="center" vertical="center" wrapText="1"/>
      <protection/>
    </xf>
    <xf numFmtId="3" fontId="40" fillId="24" borderId="14" xfId="136" applyNumberFormat="1" applyFont="1" applyFill="1" applyBorder="1" applyAlignment="1" applyProtection="1">
      <alignment horizontal="center" vertical="center" wrapText="1"/>
      <protection/>
    </xf>
    <xf numFmtId="49" fontId="12" fillId="0" borderId="11" xfId="136" applyNumberFormat="1" applyFont="1" applyFill="1" applyBorder="1" applyAlignment="1" applyProtection="1">
      <alignment horizontal="center" vertical="center" wrapText="1"/>
      <protection/>
    </xf>
    <xf numFmtId="3" fontId="12" fillId="24" borderId="12" xfId="136" applyNumberFormat="1" applyFont="1" applyFill="1" applyBorder="1" applyAlignment="1" applyProtection="1">
      <alignment horizontal="center" vertical="center" wrapText="1"/>
      <protection/>
    </xf>
    <xf numFmtId="3" fontId="12" fillId="24" borderId="14" xfId="136" applyNumberFormat="1" applyFont="1" applyFill="1" applyBorder="1" applyAlignment="1" applyProtection="1">
      <alignment horizontal="center" vertical="center" wrapText="1"/>
      <protection/>
    </xf>
    <xf numFmtId="49" fontId="12" fillId="0" borderId="17" xfId="136" applyNumberFormat="1" applyFont="1" applyFill="1" applyBorder="1" applyAlignment="1">
      <alignment horizontal="center" vertical="center" wrapText="1"/>
      <protection/>
    </xf>
    <xf numFmtId="49" fontId="33" fillId="0" borderId="16" xfId="136" applyNumberFormat="1" applyFont="1" applyFill="1" applyBorder="1" applyAlignment="1">
      <alignment horizontal="center" vertical="center" wrapText="1"/>
      <protection/>
    </xf>
    <xf numFmtId="49" fontId="0" fillId="3" borderId="26" xfId="136" applyNumberFormat="1" applyFont="1" applyFill="1" applyBorder="1" applyAlignment="1">
      <alignment horizontal="center"/>
      <protection/>
    </xf>
    <xf numFmtId="49" fontId="0" fillId="3" borderId="10" xfId="136" applyNumberFormat="1" applyFont="1" applyFill="1" applyBorder="1" applyAlignment="1">
      <alignment horizontal="center"/>
      <protection/>
    </xf>
    <xf numFmtId="49" fontId="12" fillId="0" borderId="37" xfId="136" applyNumberFormat="1" applyFont="1" applyBorder="1" applyAlignment="1">
      <alignment horizontal="center" vertical="center" wrapText="1"/>
      <protection/>
    </xf>
    <xf numFmtId="49" fontId="12" fillId="0" borderId="16" xfId="136" applyNumberFormat="1" applyFont="1" applyBorder="1" applyAlignment="1">
      <alignment horizontal="center" vertical="center" wrapText="1"/>
      <protection/>
    </xf>
    <xf numFmtId="49" fontId="71" fillId="0" borderId="0" xfId="136" applyNumberFormat="1" applyFont="1" applyBorder="1" applyAlignment="1">
      <alignment horizontal="center" wrapText="1"/>
      <protection/>
    </xf>
    <xf numFmtId="49" fontId="46" fillId="0" borderId="0" xfId="136" applyNumberFormat="1" applyFont="1" applyBorder="1" applyAlignment="1">
      <alignment horizontal="center" wrapText="1"/>
      <protection/>
    </xf>
    <xf numFmtId="49" fontId="12" fillId="0" borderId="17" xfId="136" applyNumberFormat="1" applyFont="1" applyBorder="1" applyAlignment="1">
      <alignment horizontal="center" vertical="center" wrapText="1"/>
      <protection/>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136" applyNumberFormat="1" applyFont="1" applyBorder="1" applyAlignment="1">
      <alignment horizontal="center" wrapText="1"/>
      <protection/>
    </xf>
    <xf numFmtId="49" fontId="20" fillId="0" borderId="10"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26"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distributed" wrapText="1"/>
    </xf>
    <xf numFmtId="0" fontId="8" fillId="0" borderId="16" xfId="0" applyFont="1" applyFill="1" applyBorder="1" applyAlignment="1">
      <alignment horizontal="center" vertical="distributed"/>
    </xf>
    <xf numFmtId="49" fontId="12" fillId="0" borderId="37"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8" fillId="0" borderId="30" xfId="0" applyFont="1" applyFill="1" applyBorder="1" applyAlignment="1">
      <alignment/>
    </xf>
    <xf numFmtId="49" fontId="12" fillId="0" borderId="17"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1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2" fillId="0" borderId="17" xfId="0" applyNumberFormat="1" applyFont="1" applyFill="1" applyBorder="1" applyAlignment="1">
      <alignment horizontal="center"/>
    </xf>
    <xf numFmtId="49" fontId="12" fillId="0" borderId="16"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0" fontId="7" fillId="0" borderId="0" xfId="136" applyFont="1" applyAlignment="1">
      <alignment horizontal="center"/>
      <protection/>
    </xf>
    <xf numFmtId="49" fontId="7" fillId="24" borderId="0" xfId="136" applyNumberFormat="1" applyFont="1" applyFill="1" applyAlignment="1">
      <alignment horizontal="center"/>
      <protection/>
    </xf>
    <xf numFmtId="49" fontId="28" fillId="0" borderId="0" xfId="136" applyNumberFormat="1" applyFont="1" applyFill="1" applyBorder="1" applyAlignment="1">
      <alignment horizontal="center" wrapText="1"/>
      <protection/>
    </xf>
    <xf numFmtId="49" fontId="20" fillId="0" borderId="0" xfId="136" applyNumberFormat="1" applyFont="1" applyFill="1" applyBorder="1" applyAlignment="1">
      <alignment horizontal="center" wrapText="1"/>
      <protection/>
    </xf>
    <xf numFmtId="49" fontId="77" fillId="0" borderId="0" xfId="136" applyNumberFormat="1" applyFont="1" applyFill="1" applyAlignment="1">
      <alignment horizontal="center"/>
      <protection/>
    </xf>
    <xf numFmtId="49" fontId="23" fillId="0" borderId="0" xfId="136" applyNumberFormat="1" applyFont="1" applyFill="1" applyAlignment="1">
      <alignment horizontal="center"/>
      <protection/>
    </xf>
    <xf numFmtId="49" fontId="25" fillId="0" borderId="11" xfId="136" applyNumberFormat="1" applyFont="1" applyFill="1" applyBorder="1" applyAlignment="1">
      <alignment horizontal="center" vertical="center" wrapText="1"/>
      <protection/>
    </xf>
    <xf numFmtId="49" fontId="7" fillId="0" borderId="11" xfId="136" applyNumberFormat="1" applyFont="1" applyBorder="1" applyAlignment="1">
      <alignment horizontal="center"/>
      <protection/>
    </xf>
    <xf numFmtId="49" fontId="0" fillId="0" borderId="0" xfId="136" applyNumberFormat="1" applyFont="1" applyAlignment="1">
      <alignment horizontal="left" wrapText="1"/>
      <protection/>
    </xf>
    <xf numFmtId="49" fontId="7" fillId="0" borderId="0" xfId="136" applyNumberFormat="1" applyFont="1" applyAlignment="1">
      <alignment horizontal="left" wrapText="1"/>
      <protection/>
    </xf>
    <xf numFmtId="49" fontId="0" fillId="0" borderId="0" xfId="136" applyNumberFormat="1" applyFont="1" applyAlignment="1">
      <alignment/>
      <protection/>
    </xf>
    <xf numFmtId="49" fontId="7" fillId="0" borderId="11" xfId="136" applyNumberFormat="1" applyFont="1" applyFill="1" applyBorder="1" applyAlignment="1">
      <alignment horizontal="center" vertical="center" wrapText="1"/>
      <protection/>
    </xf>
    <xf numFmtId="49" fontId="37" fillId="0" borderId="0" xfId="136" applyNumberFormat="1" applyFont="1" applyBorder="1" applyAlignment="1">
      <alignment horizontal="center"/>
      <protection/>
    </xf>
    <xf numFmtId="49" fontId="62" fillId="3" borderId="17" xfId="136" applyNumberFormat="1" applyFont="1" applyFill="1" applyBorder="1" applyAlignment="1">
      <alignment horizontal="center" wrapText="1"/>
      <protection/>
    </xf>
    <xf numFmtId="49" fontId="62" fillId="3" borderId="16" xfId="136" applyNumberFormat="1" applyFont="1" applyFill="1" applyBorder="1" applyAlignment="1">
      <alignment horizontal="center" wrapText="1"/>
      <protection/>
    </xf>
    <xf numFmtId="49" fontId="61" fillId="3" borderId="17" xfId="136" applyNumberFormat="1" applyFont="1" applyFill="1" applyBorder="1" applyAlignment="1">
      <alignment horizontal="center" wrapText="1"/>
      <protection/>
    </xf>
    <xf numFmtId="49" fontId="61" fillId="3" borderId="16" xfId="136" applyNumberFormat="1" applyFont="1" applyFill="1" applyBorder="1" applyAlignment="1">
      <alignment horizontal="center" wrapText="1"/>
      <protection/>
    </xf>
    <xf numFmtId="49" fontId="30" fillId="0" borderId="0" xfId="136" applyNumberFormat="1" applyFont="1" applyBorder="1" applyAlignment="1">
      <alignment horizontal="center"/>
      <protection/>
    </xf>
    <xf numFmtId="49" fontId="19" fillId="0" borderId="0" xfId="136" applyNumberFormat="1" applyFont="1" applyAlignment="1">
      <alignment horizontal="center" wrapText="1"/>
      <protection/>
    </xf>
    <xf numFmtId="49" fontId="23" fillId="0" borderId="13" xfId="136" applyNumberFormat="1" applyFont="1" applyBorder="1" applyAlignment="1">
      <alignment horizontal="left"/>
      <protection/>
    </xf>
    <xf numFmtId="49" fontId="23" fillId="0" borderId="0" xfId="136" applyNumberFormat="1" applyFont="1" applyAlignment="1">
      <alignment horizontal="center"/>
      <protection/>
    </xf>
    <xf numFmtId="49" fontId="23" fillId="0" borderId="0" xfId="136" applyNumberFormat="1" applyFont="1" applyBorder="1" applyAlignment="1">
      <alignment horizontal="left"/>
      <protection/>
    </xf>
    <xf numFmtId="49" fontId="12" fillId="0" borderId="26" xfId="136" applyNumberFormat="1" applyFont="1" applyFill="1" applyBorder="1" applyAlignment="1">
      <alignment horizontal="center" vertical="center" wrapText="1"/>
      <protection/>
    </xf>
    <xf numFmtId="49" fontId="12" fillId="0" borderId="27" xfId="136" applyNumberFormat="1" applyFont="1" applyFill="1" applyBorder="1" applyAlignment="1">
      <alignment horizontal="center" vertical="center" wrapText="1"/>
      <protection/>
    </xf>
    <xf numFmtId="49" fontId="12" fillId="0" borderId="15" xfId="136" applyNumberFormat="1" applyFont="1" applyFill="1" applyBorder="1" applyAlignment="1">
      <alignment horizontal="center" vertical="center" wrapText="1"/>
      <protection/>
    </xf>
    <xf numFmtId="49" fontId="12" fillId="0" borderId="36" xfId="136" applyNumberFormat="1" applyFont="1" applyFill="1" applyBorder="1" applyAlignment="1">
      <alignment horizontal="center" vertical="center" wrapText="1"/>
      <protection/>
    </xf>
    <xf numFmtId="49" fontId="12" fillId="0" borderId="18" xfId="136" applyNumberFormat="1" applyFont="1" applyFill="1" applyBorder="1" applyAlignment="1">
      <alignment horizontal="center" vertical="center" wrapText="1"/>
      <protection/>
    </xf>
    <xf numFmtId="49" fontId="12" fillId="0" borderId="28" xfId="136" applyNumberFormat="1" applyFont="1" applyFill="1" applyBorder="1" applyAlignment="1">
      <alignment horizontal="center" vertical="center" wrapText="1"/>
      <protection/>
    </xf>
    <xf numFmtId="49" fontId="18" fillId="0" borderId="0" xfId="136" applyNumberFormat="1" applyFont="1" applyBorder="1" applyAlignment="1">
      <alignment wrapText="1"/>
      <protection/>
    </xf>
    <xf numFmtId="49" fontId="18" fillId="0" borderId="0" xfId="136" applyNumberFormat="1" applyFont="1" applyBorder="1" applyAlignment="1">
      <alignment horizontal="center" wrapText="1"/>
      <protection/>
    </xf>
    <xf numFmtId="49" fontId="12" fillId="22" borderId="17" xfId="136" applyNumberFormat="1" applyFont="1" applyFill="1" applyBorder="1" applyAlignment="1">
      <alignment horizontal="center" vertical="center" wrapText="1"/>
      <protection/>
    </xf>
    <xf numFmtId="49" fontId="12" fillId="22" borderId="16" xfId="136" applyNumberFormat="1" applyFont="1" applyFill="1" applyBorder="1" applyAlignment="1">
      <alignment horizontal="center" vertical="center" wrapText="1"/>
      <protection/>
    </xf>
    <xf numFmtId="49" fontId="21" fillId="0" borderId="17" xfId="136" applyNumberFormat="1" applyFont="1" applyBorder="1" applyAlignment="1">
      <alignment horizontal="center" wrapText="1"/>
      <protection/>
    </xf>
    <xf numFmtId="49" fontId="21" fillId="0" borderId="16" xfId="136" applyNumberFormat="1" applyFont="1" applyBorder="1" applyAlignment="1">
      <alignment horizontal="center" wrapText="1"/>
      <protection/>
    </xf>
    <xf numFmtId="49" fontId="34" fillId="0" borderId="0" xfId="136" applyNumberFormat="1" applyFont="1" applyBorder="1" applyAlignment="1">
      <alignment horizontal="center" wrapText="1"/>
      <protection/>
    </xf>
    <xf numFmtId="49" fontId="34" fillId="0" borderId="0" xfId="136" applyNumberFormat="1" applyFont="1" applyAlignment="1">
      <alignment horizontal="center"/>
      <protection/>
    </xf>
    <xf numFmtId="49" fontId="11" fillId="0" borderId="11" xfId="139" applyNumberFormat="1" applyFont="1" applyFill="1" applyBorder="1" applyAlignment="1">
      <alignment horizontal="center" vertical="center" wrapText="1"/>
      <protection/>
    </xf>
    <xf numFmtId="49" fontId="91" fillId="3" borderId="17" xfId="139" applyNumberFormat="1" applyFont="1" applyFill="1" applyBorder="1" applyAlignment="1">
      <alignment horizontal="center" vertical="center" wrapText="1"/>
      <protection/>
    </xf>
    <xf numFmtId="49" fontId="91" fillId="3" borderId="16" xfId="139" applyNumberFormat="1" applyFont="1" applyFill="1" applyBorder="1" applyAlignment="1">
      <alignment horizontal="center" vertical="center" wrapText="1"/>
      <protection/>
    </xf>
    <xf numFmtId="49" fontId="11" fillId="0" borderId="16" xfId="139" applyNumberFormat="1" applyFont="1" applyFill="1" applyBorder="1" applyAlignment="1">
      <alignment horizontal="center" vertical="center" wrapText="1"/>
      <protection/>
    </xf>
    <xf numFmtId="49" fontId="7" fillId="0" borderId="0" xfId="139" applyNumberFormat="1" applyFont="1" applyBorder="1" applyAlignment="1">
      <alignment horizontal="left"/>
      <protection/>
    </xf>
    <xf numFmtId="49" fontId="11" fillId="0" borderId="26" xfId="139" applyNumberFormat="1" applyFont="1" applyFill="1" applyBorder="1" applyAlignment="1">
      <alignment horizontal="center" vertical="center"/>
      <protection/>
    </xf>
    <xf numFmtId="49" fontId="11" fillId="0" borderId="27" xfId="139" applyNumberFormat="1" applyFont="1" applyFill="1" applyBorder="1" applyAlignment="1">
      <alignment horizontal="center" vertical="center"/>
      <protection/>
    </xf>
    <xf numFmtId="49" fontId="11" fillId="0" borderId="15" xfId="139" applyNumberFormat="1" applyFont="1" applyFill="1" applyBorder="1" applyAlignment="1">
      <alignment horizontal="center" vertical="center"/>
      <protection/>
    </xf>
    <xf numFmtId="49" fontId="11" fillId="0" borderId="36" xfId="139" applyNumberFormat="1" applyFont="1" applyFill="1" applyBorder="1" applyAlignment="1">
      <alignment horizontal="center" vertical="center"/>
      <protection/>
    </xf>
    <xf numFmtId="49" fontId="11" fillId="0" borderId="18" xfId="139" applyNumberFormat="1" applyFont="1" applyFill="1" applyBorder="1" applyAlignment="1">
      <alignment horizontal="center" vertical="center"/>
      <protection/>
    </xf>
    <xf numFmtId="49" fontId="11" fillId="0" borderId="28" xfId="139" applyNumberFormat="1" applyFont="1" applyFill="1" applyBorder="1" applyAlignment="1">
      <alignment horizontal="center" vertical="center"/>
      <protection/>
    </xf>
    <xf numFmtId="49" fontId="19" fillId="0" borderId="0" xfId="139" applyNumberFormat="1" applyFont="1" applyFill="1" applyAlignment="1">
      <alignment horizontal="center" wrapText="1"/>
      <protection/>
    </xf>
    <xf numFmtId="49" fontId="19" fillId="0" borderId="0" xfId="139" applyNumberFormat="1" applyFont="1" applyAlignment="1">
      <alignment horizontal="center"/>
      <protection/>
    </xf>
    <xf numFmtId="49" fontId="8" fillId="0" borderId="0" xfId="139" applyNumberFormat="1" applyFont="1" applyAlignment="1">
      <alignment horizontal="left"/>
      <protection/>
    </xf>
    <xf numFmtId="49" fontId="11" fillId="0" borderId="17"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protection/>
    </xf>
    <xf numFmtId="49" fontId="7" fillId="0" borderId="0" xfId="139" applyNumberFormat="1" applyFont="1" applyFill="1" applyAlignment="1">
      <alignment horizontal="left"/>
      <protection/>
    </xf>
    <xf numFmtId="49" fontId="39" fillId="0" borderId="0" xfId="139" applyNumberFormat="1" applyFont="1" applyAlignment="1">
      <alignment horizontal="center"/>
      <protection/>
    </xf>
    <xf numFmtId="49" fontId="23" fillId="0" borderId="0" xfId="139" applyNumberFormat="1" applyFont="1" applyBorder="1" applyAlignment="1">
      <alignment horizontal="left"/>
      <protection/>
    </xf>
    <xf numFmtId="49" fontId="11" fillId="0" borderId="17" xfId="139" applyNumberFormat="1" applyFont="1" applyFill="1" applyBorder="1" applyAlignment="1">
      <alignment horizontal="center" vertical="center" wrapText="1"/>
      <protection/>
    </xf>
    <xf numFmtId="49" fontId="92" fillId="3" borderId="17" xfId="139" applyNumberFormat="1" applyFont="1" applyFill="1" applyBorder="1" applyAlignment="1">
      <alignment horizontal="center" vertical="center" wrapText="1"/>
      <protection/>
    </xf>
    <xf numFmtId="49" fontId="92" fillId="3" borderId="16" xfId="139" applyNumberFormat="1" applyFont="1" applyFill="1" applyBorder="1" applyAlignment="1">
      <alignment horizontal="center" vertical="center" wrapText="1"/>
      <protection/>
    </xf>
    <xf numFmtId="49" fontId="34" fillId="0" borderId="0" xfId="139" applyNumberFormat="1" applyFont="1" applyAlignment="1">
      <alignment horizontal="center"/>
      <protection/>
    </xf>
    <xf numFmtId="0" fontId="30" fillId="24" borderId="0" xfId="139" applyFont="1" applyFill="1" applyBorder="1" applyAlignment="1">
      <alignment horizontal="center"/>
      <protection/>
    </xf>
    <xf numFmtId="49" fontId="37" fillId="0" borderId="0" xfId="139" applyNumberFormat="1" applyFont="1" applyAlignment="1">
      <alignment horizontal="center"/>
      <protection/>
    </xf>
    <xf numFmtId="49" fontId="30" fillId="0" borderId="0" xfId="139" applyNumberFormat="1" applyFont="1" applyBorder="1" applyAlignment="1">
      <alignment horizontal="center" wrapText="1"/>
      <protection/>
    </xf>
    <xf numFmtId="49" fontId="11" fillId="0" borderId="17" xfId="139" applyNumberFormat="1" applyFont="1" applyBorder="1" applyAlignment="1">
      <alignment horizontal="center" vertical="center" wrapText="1"/>
      <protection/>
    </xf>
    <xf numFmtId="49" fontId="11" fillId="0" borderId="16" xfId="139" applyNumberFormat="1" applyFont="1" applyBorder="1" applyAlignment="1">
      <alignment horizontal="center" vertical="center" wrapText="1"/>
      <protection/>
    </xf>
    <xf numFmtId="49" fontId="30" fillId="0" borderId="0" xfId="139" applyNumberFormat="1" applyFont="1" applyBorder="1" applyAlignment="1">
      <alignment horizontal="center"/>
      <protection/>
    </xf>
    <xf numFmtId="49" fontId="82" fillId="4" borderId="12" xfId="139" applyNumberFormat="1" applyFont="1" applyFill="1" applyBorder="1" applyAlignment="1">
      <alignment horizontal="center" vertical="center" wrapText="1"/>
      <protection/>
    </xf>
    <xf numFmtId="49" fontId="82" fillId="4" borderId="30" xfId="139" applyNumberFormat="1" applyFont="1" applyFill="1" applyBorder="1" applyAlignment="1">
      <alignment horizontal="center" vertical="center" wrapText="1"/>
      <protection/>
    </xf>
    <xf numFmtId="49" fontId="82" fillId="4" borderId="14"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90" fillId="0" borderId="17" xfId="139" applyNumberFormat="1" applyFont="1" applyBorder="1" applyAlignment="1">
      <alignment horizontal="center" vertical="center" wrapText="1"/>
      <protection/>
    </xf>
    <xf numFmtId="49" fontId="90" fillId="0" borderId="16" xfId="139" applyNumberFormat="1" applyFont="1" applyBorder="1" applyAlignment="1">
      <alignment horizontal="center" vertical="center" wrapText="1"/>
      <protection/>
    </xf>
    <xf numFmtId="49" fontId="37" fillId="0" borderId="0" xfId="139" applyNumberFormat="1" applyFont="1" applyBorder="1" applyAlignment="1">
      <alignment horizontal="center" wrapText="1"/>
      <protection/>
    </xf>
    <xf numFmtId="49" fontId="11" fillId="0" borderId="12" xfId="139" applyNumberFormat="1" applyFont="1" applyFill="1" applyBorder="1" applyAlignment="1">
      <alignment horizontal="center" vertical="center" wrapText="1"/>
      <protection/>
    </xf>
    <xf numFmtId="49" fontId="11" fillId="0" borderId="30" xfId="139" applyNumberFormat="1" applyFont="1" applyFill="1" applyBorder="1" applyAlignment="1">
      <alignment horizontal="center" vertical="center" wrapText="1"/>
      <protection/>
    </xf>
    <xf numFmtId="49" fontId="11" fillId="0" borderId="14" xfId="139" applyNumberFormat="1" applyFont="1" applyFill="1" applyBorder="1" applyAlignment="1">
      <alignment horizontal="center" vertical="center" wrapText="1"/>
      <protection/>
    </xf>
    <xf numFmtId="49" fontId="18" fillId="0" borderId="0" xfId="139" applyNumberFormat="1" applyFont="1" applyAlignment="1">
      <alignment horizontal="center"/>
      <protection/>
    </xf>
    <xf numFmtId="49" fontId="37" fillId="0" borderId="0" xfId="139" applyNumberFormat="1" applyFont="1" applyBorder="1" applyAlignment="1">
      <alignment horizontal="center"/>
      <protection/>
    </xf>
    <xf numFmtId="0" fontId="17" fillId="0" borderId="11" xfId="139" applyFont="1" applyBorder="1" applyAlignment="1">
      <alignment horizontal="center" vertical="center" wrapText="1"/>
      <protection/>
    </xf>
    <xf numFmtId="0" fontId="11" fillId="0" borderId="11" xfId="139" applyFont="1" applyBorder="1" applyAlignment="1">
      <alignment horizontal="center" vertical="center" wrapText="1"/>
      <protection/>
    </xf>
    <xf numFmtId="0" fontId="11" fillId="0" borderId="16" xfId="139" applyFont="1" applyBorder="1" applyAlignment="1">
      <alignment horizontal="center" vertical="center" wrapText="1"/>
      <protection/>
    </xf>
    <xf numFmtId="0" fontId="11" fillId="0" borderId="11" xfId="139" applyFont="1" applyBorder="1" applyAlignment="1">
      <alignment horizontal="center" vertical="center"/>
      <protection/>
    </xf>
    <xf numFmtId="0" fontId="19" fillId="0" borderId="0" xfId="139" applyFont="1" applyAlignment="1">
      <alignment horizontal="center"/>
      <protection/>
    </xf>
    <xf numFmtId="0" fontId="11" fillId="0" borderId="11" xfId="139" applyFont="1" applyFill="1" applyBorder="1" applyAlignment="1">
      <alignment horizontal="center" vertical="center" wrapText="1"/>
      <protection/>
    </xf>
    <xf numFmtId="0" fontId="39" fillId="0" borderId="0" xfId="139" applyFont="1" applyAlignment="1">
      <alignment horizontal="center"/>
      <protection/>
    </xf>
    <xf numFmtId="0" fontId="11" fillId="0" borderId="26" xfId="139" applyFont="1" applyBorder="1" applyAlignment="1">
      <alignment horizontal="center" vertical="center" wrapText="1"/>
      <protection/>
    </xf>
    <xf numFmtId="0" fontId="11" fillId="0" borderId="10" xfId="139" applyFont="1" applyBorder="1" applyAlignment="1">
      <alignment horizontal="center" vertical="center" wrapText="1"/>
      <protection/>
    </xf>
    <xf numFmtId="0" fontId="11" fillId="0" borderId="27" xfId="139" applyFont="1" applyBorder="1" applyAlignment="1">
      <alignment horizontal="center" vertical="center" wrapText="1"/>
      <protection/>
    </xf>
    <xf numFmtId="0" fontId="11" fillId="0" borderId="15" xfId="139" applyFont="1" applyBorder="1" applyAlignment="1">
      <alignment horizontal="center" vertical="center" wrapText="1"/>
      <protection/>
    </xf>
    <xf numFmtId="0" fontId="11" fillId="0" borderId="0" xfId="139" applyFont="1" applyBorder="1" applyAlignment="1">
      <alignment horizontal="center" vertical="center" wrapText="1"/>
      <protection/>
    </xf>
    <xf numFmtId="0" fontId="11" fillId="0" borderId="36" xfId="139" applyFont="1" applyBorder="1" applyAlignment="1">
      <alignment horizontal="center" vertical="center" wrapText="1"/>
      <protection/>
    </xf>
    <xf numFmtId="3" fontId="0" fillId="24" borderId="0" xfId="139" applyNumberFormat="1" applyFont="1" applyFill="1" applyBorder="1" applyAlignment="1">
      <alignment horizontal="left"/>
      <protection/>
    </xf>
    <xf numFmtId="0" fontId="7" fillId="0" borderId="0" xfId="139" applyFont="1" applyBorder="1" applyAlignment="1">
      <alignment horizontal="left"/>
      <protection/>
    </xf>
    <xf numFmtId="0" fontId="0" fillId="0" borderId="0" xfId="139" applyFont="1" applyBorder="1" applyAlignment="1">
      <alignment horizontal="left"/>
      <protection/>
    </xf>
    <xf numFmtId="0" fontId="7"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9" fillId="0" borderId="0" xfId="139" applyFont="1" applyAlignment="1">
      <alignment horizontal="center" wrapText="1"/>
      <protection/>
    </xf>
    <xf numFmtId="0" fontId="18" fillId="0" borderId="0" xfId="139" applyFont="1" applyBorder="1" applyAlignment="1">
      <alignment horizontal="center"/>
      <protection/>
    </xf>
    <xf numFmtId="0" fontId="18" fillId="0" borderId="13" xfId="139" applyFont="1" applyBorder="1" applyAlignment="1">
      <alignment horizontal="left"/>
      <protection/>
    </xf>
    <xf numFmtId="0" fontId="11" fillId="0" borderId="17" xfId="139" applyFont="1" applyBorder="1" applyAlignment="1">
      <alignment horizontal="center" vertical="center"/>
      <protection/>
    </xf>
    <xf numFmtId="0" fontId="11" fillId="0" borderId="37" xfId="139" applyFont="1" applyBorder="1" applyAlignment="1">
      <alignment horizontal="center" vertical="center"/>
      <protection/>
    </xf>
    <xf numFmtId="0" fontId="11" fillId="0" borderId="16" xfId="139" applyFont="1" applyBorder="1" applyAlignment="1">
      <alignment horizontal="center" vertical="center"/>
      <protection/>
    </xf>
    <xf numFmtId="0" fontId="37" fillId="0" borderId="0" xfId="139" applyNumberFormat="1" applyFont="1" applyBorder="1" applyAlignment="1">
      <alignment horizontal="center"/>
      <protection/>
    </xf>
    <xf numFmtId="0" fontId="37" fillId="0" borderId="0" xfId="139" applyFont="1" applyBorder="1" applyAlignment="1">
      <alignment horizontal="center" wrapText="1"/>
      <protection/>
    </xf>
    <xf numFmtId="0" fontId="30" fillId="0" borderId="0" xfId="139" applyFont="1" applyBorder="1" applyAlignment="1">
      <alignment horizontal="center" wrapText="1"/>
      <protection/>
    </xf>
    <xf numFmtId="0" fontId="73" fillId="3" borderId="17" xfId="139" applyFont="1" applyFill="1" applyBorder="1" applyAlignment="1">
      <alignment horizontal="center" vertical="center" wrapText="1"/>
      <protection/>
    </xf>
    <xf numFmtId="0" fontId="73" fillId="3" borderId="16"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74" fillId="3" borderId="17" xfId="139" applyFont="1" applyFill="1" applyBorder="1" applyAlignment="1">
      <alignment horizontal="center" vertical="center" wrapText="1"/>
      <protection/>
    </xf>
    <xf numFmtId="0" fontId="74" fillId="3" borderId="16" xfId="139" applyFont="1" applyFill="1" applyBorder="1" applyAlignment="1">
      <alignment horizontal="center" vertical="center" wrapText="1"/>
      <protection/>
    </xf>
    <xf numFmtId="0" fontId="94" fillId="0" borderId="0" xfId="139" applyFont="1" applyAlignment="1">
      <alignment horizontal="center"/>
      <protection/>
    </xf>
    <xf numFmtId="0" fontId="11" fillId="0" borderId="17" xfId="139" applyFont="1" applyBorder="1" applyAlignment="1">
      <alignment horizontal="center" vertical="center" wrapText="1"/>
      <protection/>
    </xf>
    <xf numFmtId="0" fontId="11" fillId="0" borderId="12" xfId="139" applyFont="1" applyBorder="1" applyAlignment="1">
      <alignment horizontal="center" vertical="center" wrapText="1"/>
      <protection/>
    </xf>
    <xf numFmtId="0" fontId="11" fillId="0" borderId="30" xfId="139" applyFont="1" applyBorder="1" applyAlignment="1">
      <alignment horizontal="center" vertical="center" wrapText="1"/>
      <protection/>
    </xf>
    <xf numFmtId="0" fontId="11" fillId="0" borderId="14" xfId="139" applyFont="1" applyBorder="1" applyAlignment="1">
      <alignment horizontal="center" vertical="center" wrapText="1"/>
      <protection/>
    </xf>
    <xf numFmtId="0" fontId="26" fillId="0" borderId="17" xfId="139" applyFont="1" applyBorder="1" applyAlignment="1">
      <alignment horizontal="center" vertical="center" wrapText="1"/>
      <protection/>
    </xf>
    <xf numFmtId="0" fontId="26" fillId="0" borderId="16" xfId="139" applyFont="1" applyBorder="1" applyAlignment="1">
      <alignment horizontal="center" vertical="center" wrapText="1"/>
      <protection/>
    </xf>
    <xf numFmtId="49" fontId="11" fillId="0" borderId="10" xfId="139" applyNumberFormat="1" applyFont="1" applyFill="1" applyBorder="1" applyAlignment="1">
      <alignment horizontal="center" vertical="center"/>
      <protection/>
    </xf>
    <xf numFmtId="49" fontId="11" fillId="0" borderId="0" xfId="139" applyNumberFormat="1" applyFont="1" applyFill="1" applyBorder="1" applyAlignment="1">
      <alignment horizontal="center" vertical="center"/>
      <protection/>
    </xf>
    <xf numFmtId="49" fontId="11" fillId="0" borderId="13" xfId="139" applyNumberFormat="1" applyFont="1" applyFill="1" applyBorder="1" applyAlignment="1">
      <alignment horizontal="center" vertical="center"/>
      <protection/>
    </xf>
    <xf numFmtId="49" fontId="85" fillId="0" borderId="0" xfId="139" applyNumberFormat="1" applyFont="1" applyAlignment="1">
      <alignment horizontal="center"/>
      <protection/>
    </xf>
    <xf numFmtId="49" fontId="11" fillId="0" borderId="11" xfId="139" applyNumberFormat="1" applyFont="1" applyFill="1" applyBorder="1" applyAlignment="1">
      <alignment horizontal="center" vertical="center"/>
      <protection/>
    </xf>
    <xf numFmtId="49" fontId="83" fillId="3" borderId="17" xfId="139" applyNumberFormat="1" applyFont="1" applyFill="1" applyBorder="1" applyAlignment="1">
      <alignment horizontal="center" vertical="center" wrapText="1"/>
      <protection/>
    </xf>
    <xf numFmtId="49" fontId="83" fillId="3" borderId="16" xfId="139" applyNumberFormat="1" applyFont="1" applyFill="1" applyBorder="1" applyAlignment="1">
      <alignment horizontal="center" vertical="center" wrapText="1"/>
      <protection/>
    </xf>
    <xf numFmtId="49" fontId="81" fillId="3" borderId="17" xfId="139" applyNumberFormat="1" applyFont="1" applyFill="1" applyBorder="1" applyAlignment="1">
      <alignment horizontal="center" vertical="center" wrapText="1"/>
      <protection/>
    </xf>
    <xf numFmtId="49" fontId="81" fillId="3" borderId="16" xfId="139" applyNumberFormat="1" applyFont="1" applyFill="1" applyBorder="1" applyAlignment="1">
      <alignment horizontal="center" vertical="center" wrapText="1"/>
      <protection/>
    </xf>
    <xf numFmtId="49" fontId="7" fillId="0" borderId="0" xfId="139" applyNumberFormat="1" applyFont="1" applyAlignment="1">
      <alignment horizontal="left"/>
      <protection/>
    </xf>
    <xf numFmtId="49" fontId="10" fillId="0" borderId="0" xfId="139" applyNumberFormat="1" applyFont="1" applyBorder="1" applyAlignment="1">
      <alignment horizontal="left" wrapText="1"/>
      <protection/>
    </xf>
    <xf numFmtId="49" fontId="10" fillId="0" borderId="0" xfId="139" applyNumberFormat="1" applyFont="1" applyBorder="1" applyAlignment="1">
      <alignment horizontal="left"/>
      <protection/>
    </xf>
    <xf numFmtId="49" fontId="19" fillId="0" borderId="0" xfId="139" applyNumberFormat="1" applyFont="1" applyAlignment="1">
      <alignment horizontal="center" wrapText="1"/>
      <protection/>
    </xf>
    <xf numFmtId="49" fontId="0" fillId="24" borderId="0" xfId="139" applyNumberFormat="1" applyFont="1" applyFill="1" applyBorder="1" applyAlignment="1">
      <alignment horizontal="left" vertical="top" wrapText="1"/>
      <protection/>
    </xf>
    <xf numFmtId="49" fontId="7" fillId="24"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23" fillId="0" borderId="0" xfId="139" applyNumberFormat="1" applyFont="1" applyAlignment="1">
      <alignment horizontal="center" wrapText="1"/>
      <protection/>
    </xf>
    <xf numFmtId="49" fontId="24" fillId="0" borderId="13" xfId="139" applyNumberFormat="1" applyFont="1" applyBorder="1" applyAlignment="1">
      <alignment horizontal="center"/>
      <protection/>
    </xf>
    <xf numFmtId="49" fontId="80" fillId="0" borderId="11" xfId="139" applyNumberFormat="1" applyFont="1" applyBorder="1" applyAlignment="1">
      <alignment horizontal="center" vertical="center" wrapText="1"/>
      <protection/>
    </xf>
    <xf numFmtId="49" fontId="17" fillId="0" borderId="11" xfId="139" applyNumberFormat="1" applyFont="1" applyBorder="1" applyAlignment="1">
      <alignment horizontal="center" vertical="center" wrapText="1"/>
      <protection/>
    </xf>
    <xf numFmtId="49" fontId="12" fillId="0" borderId="0" xfId="139" applyNumberFormat="1" applyFont="1" applyAlignment="1">
      <alignment horizontal="left"/>
      <protection/>
    </xf>
    <xf numFmtId="49" fontId="18" fillId="0" borderId="0" xfId="139" applyNumberFormat="1" applyFont="1" applyBorder="1" applyAlignment="1">
      <alignment horizontal="left"/>
      <protection/>
    </xf>
    <xf numFmtId="49" fontId="12" fillId="0" borderId="17" xfId="139" applyNumberFormat="1" applyFont="1" applyBorder="1" applyAlignment="1">
      <alignment horizontal="center" vertical="center" wrapText="1"/>
      <protection/>
    </xf>
    <xf numFmtId="49" fontId="12" fillId="0" borderId="16" xfId="139" applyNumberFormat="1" applyFont="1" applyBorder="1" applyAlignment="1">
      <alignment horizontal="center" vertical="center" wrapText="1"/>
      <protection/>
    </xf>
    <xf numFmtId="49" fontId="8" fillId="0" borderId="0" xfId="139" applyNumberFormat="1" applyFont="1" applyAlignment="1">
      <alignment/>
      <protection/>
    </xf>
    <xf numFmtId="49" fontId="0" fillId="0" borderId="0" xfId="139" applyNumberFormat="1" applyFont="1" applyBorder="1" applyAlignment="1">
      <alignment horizontal="left"/>
      <protection/>
    </xf>
    <xf numFmtId="49" fontId="24" fillId="0" borderId="17" xfId="139" applyNumberFormat="1" applyFont="1" applyBorder="1" applyAlignment="1">
      <alignment horizontal="center" vertical="center" wrapText="1"/>
      <protection/>
    </xf>
    <xf numFmtId="49" fontId="24" fillId="0" borderId="16" xfId="139" applyNumberFormat="1" applyFont="1" applyBorder="1" applyAlignment="1">
      <alignment horizontal="center" vertical="center" wrapText="1"/>
      <protection/>
    </xf>
    <xf numFmtId="49" fontId="96" fillId="3" borderId="17" xfId="139" applyNumberFormat="1" applyFont="1" applyFill="1" applyBorder="1" applyAlignment="1">
      <alignment horizontal="center" vertical="center" wrapText="1"/>
      <protection/>
    </xf>
    <xf numFmtId="49" fontId="96" fillId="3" borderId="16" xfId="139" applyNumberFormat="1" applyFont="1" applyFill="1" applyBorder="1" applyAlignment="1">
      <alignment horizontal="center" vertical="center" wrapText="1"/>
      <protection/>
    </xf>
    <xf numFmtId="49" fontId="95" fillId="3" borderId="17" xfId="139" applyNumberFormat="1" applyFont="1" applyFill="1" applyBorder="1" applyAlignment="1">
      <alignment horizontal="center" vertical="center" wrapText="1"/>
      <protection/>
    </xf>
    <xf numFmtId="49" fontId="95" fillId="3" borderId="16" xfId="139" applyNumberFormat="1" applyFont="1" applyFill="1" applyBorder="1" applyAlignment="1">
      <alignment horizontal="center" vertical="center" wrapText="1"/>
      <protection/>
    </xf>
    <xf numFmtId="49" fontId="11" fillId="0" borderId="12" xfId="139" applyNumberFormat="1" applyFont="1" applyBorder="1" applyAlignment="1">
      <alignment horizontal="center" vertical="center" wrapText="1"/>
      <protection/>
    </xf>
    <xf numFmtId="49" fontId="11" fillId="0" borderId="14" xfId="139" applyNumberFormat="1" applyFont="1" applyBorder="1" applyAlignment="1">
      <alignment horizontal="center" vertical="center" wrapText="1"/>
      <protection/>
    </xf>
    <xf numFmtId="49" fontId="11" fillId="0" borderId="30" xfId="139" applyNumberFormat="1" applyFont="1" applyBorder="1" applyAlignment="1">
      <alignment horizontal="center" vertical="center" wrapText="1"/>
      <protection/>
    </xf>
    <xf numFmtId="49" fontId="11" fillId="0" borderId="37" xfId="139" applyNumberFormat="1" applyFont="1" applyBorder="1" applyAlignment="1">
      <alignment horizontal="center" vertical="center" wrapText="1"/>
      <protection/>
    </xf>
    <xf numFmtId="49" fontId="24" fillId="0" borderId="0" xfId="139" applyNumberFormat="1" applyFont="1" applyAlignment="1">
      <alignment horizontal="center"/>
      <protection/>
    </xf>
    <xf numFmtId="49" fontId="23" fillId="0" borderId="13" xfId="139" applyNumberFormat="1" applyFont="1" applyBorder="1" applyAlignment="1">
      <alignment horizontal="left"/>
      <protection/>
    </xf>
    <xf numFmtId="49" fontId="37" fillId="0" borderId="0" xfId="139" applyNumberFormat="1" applyFont="1" applyBorder="1" applyAlignment="1">
      <alignment horizontal="left" wrapText="1"/>
      <protection/>
    </xf>
    <xf numFmtId="49" fontId="23" fillId="0" borderId="0" xfId="139" applyNumberFormat="1" applyFont="1" applyFill="1" applyBorder="1" applyAlignment="1">
      <alignment horizontal="left"/>
      <protection/>
    </xf>
    <xf numFmtId="49" fontId="0" fillId="0" borderId="0" xfId="139" applyNumberFormat="1" applyFont="1" applyFill="1" applyAlignment="1">
      <alignment horizontal="left"/>
      <protection/>
    </xf>
    <xf numFmtId="49" fontId="18" fillId="0" borderId="13" xfId="139" applyNumberFormat="1" applyFont="1" applyFill="1" applyBorder="1" applyAlignment="1">
      <alignment horizontal="center" vertical="center"/>
      <protection/>
    </xf>
    <xf numFmtId="49" fontId="24" fillId="0" borderId="17" xfId="139" applyNumberFormat="1" applyFont="1" applyFill="1" applyBorder="1" applyAlignment="1">
      <alignment horizontal="center" vertical="center"/>
      <protection/>
    </xf>
    <xf numFmtId="49" fontId="24" fillId="0" borderId="16" xfId="139" applyNumberFormat="1" applyFont="1" applyFill="1" applyBorder="1" applyAlignment="1">
      <alignment horizontal="center" vertical="center"/>
      <protection/>
    </xf>
    <xf numFmtId="49" fontId="11" fillId="0" borderId="37" xfId="139" applyNumberFormat="1" applyFont="1" applyFill="1" applyBorder="1" applyAlignment="1">
      <alignment horizontal="center" vertical="center" wrapText="1"/>
      <protection/>
    </xf>
    <xf numFmtId="49" fontId="11" fillId="0" borderId="18" xfId="139" applyNumberFormat="1" applyFont="1" applyFill="1" applyBorder="1" applyAlignment="1">
      <alignment horizontal="center" vertical="center" wrapText="1"/>
      <protection/>
    </xf>
    <xf numFmtId="49" fontId="11" fillId="0" borderId="28" xfId="139" applyNumberFormat="1" applyFont="1" applyFill="1" applyBorder="1" applyAlignment="1">
      <alignment horizontal="center" vertical="center" wrapText="1"/>
      <protection/>
    </xf>
    <xf numFmtId="0" fontId="88" fillId="0" borderId="37" xfId="139" applyFont="1" applyFill="1" applyBorder="1" applyAlignment="1">
      <alignment horizontal="center" vertical="center" wrapText="1"/>
      <protection/>
    </xf>
    <xf numFmtId="0" fontId="88" fillId="0" borderId="16" xfId="139" applyFont="1" applyFill="1" applyBorder="1" applyAlignment="1">
      <alignment horizontal="center" vertical="center" wrapText="1"/>
      <protection/>
    </xf>
    <xf numFmtId="49" fontId="11" fillId="24" borderId="17" xfId="139" applyNumberFormat="1" applyFont="1" applyFill="1" applyBorder="1" applyAlignment="1">
      <alignment horizontal="center" vertical="center"/>
      <protection/>
    </xf>
    <xf numFmtId="49" fontId="11" fillId="24" borderId="16" xfId="139" applyNumberFormat="1" applyFont="1" applyFill="1" applyBorder="1" applyAlignment="1">
      <alignment horizontal="center" vertical="center"/>
      <protection/>
    </xf>
    <xf numFmtId="49" fontId="34" fillId="0" borderId="0" xfId="139" applyNumberFormat="1" applyFont="1" applyAlignment="1">
      <alignment horizontal="center"/>
      <protection/>
    </xf>
    <xf numFmtId="49" fontId="11" fillId="0" borderId="26" xfId="139" applyNumberFormat="1" applyFont="1" applyFill="1" applyBorder="1" applyAlignment="1">
      <alignment horizontal="center" vertical="center" wrapText="1"/>
      <protection/>
    </xf>
    <xf numFmtId="49" fontId="11" fillId="0" borderId="27" xfId="139" applyNumberFormat="1" applyFont="1" applyFill="1" applyBorder="1" applyAlignment="1">
      <alignment horizontal="center" vertical="center" wrapText="1"/>
      <protection/>
    </xf>
    <xf numFmtId="49" fontId="11" fillId="0" borderId="15" xfId="139" applyNumberFormat="1" applyFont="1" applyFill="1" applyBorder="1" applyAlignment="1">
      <alignment horizontal="center" vertical="center" wrapText="1"/>
      <protection/>
    </xf>
    <xf numFmtId="49" fontId="11" fillId="0" borderId="36" xfId="139" applyNumberFormat="1" applyFont="1" applyFill="1" applyBorder="1" applyAlignment="1">
      <alignment horizontal="center" vertical="center" wrapText="1"/>
      <protection/>
    </xf>
    <xf numFmtId="49" fontId="96" fillId="3" borderId="17" xfId="139" applyNumberFormat="1" applyFont="1" applyFill="1" applyBorder="1" applyAlignment="1">
      <alignment horizontal="center" vertical="center"/>
      <protection/>
    </xf>
    <xf numFmtId="49" fontId="96" fillId="3" borderId="16" xfId="139" applyNumberFormat="1" applyFont="1" applyFill="1" applyBorder="1" applyAlignment="1">
      <alignment horizontal="center" vertical="center"/>
      <protection/>
    </xf>
    <xf numFmtId="49" fontId="95" fillId="3" borderId="17" xfId="139" applyNumberFormat="1" applyFont="1" applyFill="1" applyBorder="1" applyAlignment="1">
      <alignment horizontal="center" vertical="center"/>
      <protection/>
    </xf>
    <xf numFmtId="49" fontId="95" fillId="3" borderId="16" xfId="139" applyNumberFormat="1" applyFont="1" applyFill="1" applyBorder="1" applyAlignment="1">
      <alignment horizontal="center" vertical="center"/>
      <protection/>
    </xf>
    <xf numFmtId="0" fontId="19" fillId="0" borderId="0" xfId="139" applyNumberFormat="1" applyFont="1" applyAlignment="1">
      <alignment horizontal="center"/>
      <protection/>
    </xf>
    <xf numFmtId="0" fontId="39" fillId="0" borderId="0" xfId="139" applyNumberFormat="1" applyFont="1" applyAlignment="1">
      <alignment horizontal="center"/>
      <protection/>
    </xf>
    <xf numFmtId="0" fontId="28" fillId="0" borderId="0" xfId="139" applyNumberFormat="1" applyFont="1" applyAlignment="1">
      <alignment horizontal="center"/>
      <protection/>
    </xf>
    <xf numFmtId="0" fontId="12" fillId="0" borderId="11" xfId="139" applyFont="1" applyFill="1" applyBorder="1" applyAlignment="1">
      <alignment horizontal="center" vertical="center" wrapText="1"/>
      <protection/>
    </xf>
    <xf numFmtId="0" fontId="23" fillId="0" borderId="0" xfId="139" applyFont="1" applyBorder="1" applyAlignment="1">
      <alignment horizontal="left"/>
      <protection/>
    </xf>
    <xf numFmtId="0" fontId="18" fillId="0" borderId="0" xfId="139" applyFont="1" applyAlignment="1">
      <alignment horizontal="center"/>
      <protection/>
    </xf>
    <xf numFmtId="49" fontId="37" fillId="0" borderId="0" xfId="139" applyNumberFormat="1" applyFont="1" applyBorder="1" applyAlignment="1">
      <alignment horizontal="justify" vertical="justify" wrapText="1"/>
      <protection/>
    </xf>
    <xf numFmtId="0" fontId="34" fillId="24" borderId="0" xfId="139" applyFont="1" applyFill="1" applyBorder="1" applyAlignment="1">
      <alignment horizontal="center"/>
      <protection/>
    </xf>
    <xf numFmtId="49" fontId="12" fillId="0" borderId="26" xfId="139" applyNumberFormat="1" applyFont="1" applyFill="1" applyBorder="1" applyAlignment="1">
      <alignment horizontal="center" vertical="center"/>
      <protection/>
    </xf>
    <xf numFmtId="49" fontId="12" fillId="0" borderId="27" xfId="139" applyNumberFormat="1" applyFont="1" applyFill="1" applyBorder="1" applyAlignment="1">
      <alignment horizontal="center" vertical="center"/>
      <protection/>
    </xf>
    <xf numFmtId="49" fontId="12" fillId="0" borderId="15" xfId="139" applyNumberFormat="1" applyFont="1" applyFill="1" applyBorder="1" applyAlignment="1">
      <alignment horizontal="center" vertical="center"/>
      <protection/>
    </xf>
    <xf numFmtId="49" fontId="12" fillId="0" borderId="36" xfId="139" applyNumberFormat="1" applyFont="1" applyFill="1" applyBorder="1" applyAlignment="1">
      <alignment horizontal="center" vertical="center"/>
      <protection/>
    </xf>
    <xf numFmtId="49" fontId="12" fillId="0" borderId="18" xfId="139" applyNumberFormat="1" applyFont="1" applyFill="1" applyBorder="1" applyAlignment="1">
      <alignment horizontal="center" vertical="center"/>
      <protection/>
    </xf>
    <xf numFmtId="49" fontId="12" fillId="0" borderId="28" xfId="139" applyNumberFormat="1" applyFont="1" applyFill="1" applyBorder="1" applyAlignment="1">
      <alignment horizontal="center" vertical="center"/>
      <protection/>
    </xf>
    <xf numFmtId="0" fontId="30" fillId="0" borderId="0" xfId="139" applyFont="1" applyAlignment="1">
      <alignment horizontal="center"/>
      <protection/>
    </xf>
    <xf numFmtId="49" fontId="30" fillId="24" borderId="38" xfId="0" applyNumberFormat="1" applyFont="1" applyFill="1" applyBorder="1" applyAlignment="1">
      <alignment horizontal="center" vertical="center"/>
    </xf>
    <xf numFmtId="49" fontId="30" fillId="24" borderId="39" xfId="0" applyNumberFormat="1" applyFont="1" applyFill="1" applyBorder="1" applyAlignment="1">
      <alignment horizontal="center" vertical="center"/>
    </xf>
    <xf numFmtId="49" fontId="106" fillId="24" borderId="17" xfId="0" applyNumberFormat="1" applyFont="1" applyFill="1" applyBorder="1" applyAlignment="1">
      <alignment horizontal="left"/>
    </xf>
    <xf numFmtId="49" fontId="106" fillId="24" borderId="37" xfId="0" applyNumberFormat="1" applyFont="1" applyFill="1" applyBorder="1" applyAlignment="1">
      <alignment horizontal="left"/>
    </xf>
    <xf numFmtId="49" fontId="106" fillId="24" borderId="16" xfId="0" applyNumberFormat="1" applyFont="1" applyFill="1" applyBorder="1" applyAlignment="1">
      <alignment horizontal="left"/>
    </xf>
    <xf numFmtId="0" fontId="0" fillId="27" borderId="13"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30" xfId="0" applyNumberFormat="1" applyFont="1" applyFill="1" applyBorder="1" applyAlignment="1">
      <alignment horizontal="center" vertical="center" wrapText="1"/>
    </xf>
    <xf numFmtId="2" fontId="8" fillId="0" borderId="14" xfId="0" applyNumberFormat="1" applyFont="1" applyFill="1" applyBorder="1" applyAlignment="1">
      <alignment horizontal="center" vertical="center" wrapText="1"/>
    </xf>
    <xf numFmtId="2" fontId="8" fillId="0" borderId="17"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18" fillId="0" borderId="13" xfId="0" applyNumberFormat="1" applyFont="1" applyFill="1" applyBorder="1" applyAlignment="1">
      <alignment horizontal="left"/>
    </xf>
    <xf numFmtId="2" fontId="17" fillId="0" borderId="17"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1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28" xfId="0" applyNumberFormat="1" applyFont="1" applyFill="1" applyBorder="1" applyAlignment="1">
      <alignment horizontal="center" vertical="center" wrapText="1"/>
    </xf>
    <xf numFmtId="2" fontId="12" fillId="0" borderId="17"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14" xfId="0" applyFont="1" applyFill="1" applyBorder="1" applyAlignment="1">
      <alignment horizontal="center" vertical="center"/>
    </xf>
    <xf numFmtId="2" fontId="8" fillId="0" borderId="18" xfId="0" applyNumberFormat="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49" fontId="7" fillId="0" borderId="11" xfId="0" applyNumberFormat="1" applyFont="1" applyBorder="1" applyAlignment="1">
      <alignment horizontal="center"/>
    </xf>
    <xf numFmtId="49" fontId="19" fillId="0" borderId="11" xfId="0" applyNumberFormat="1" applyFont="1" applyBorder="1" applyAlignment="1">
      <alignment horizontal="center" wrapText="1"/>
    </xf>
    <xf numFmtId="49" fontId="19" fillId="0" borderId="11" xfId="0" applyNumberFormat="1" applyFont="1" applyBorder="1" applyAlignment="1">
      <alignment horizontal="center"/>
    </xf>
    <xf numFmtId="49" fontId="30" fillId="0" borderId="11" xfId="0" applyNumberFormat="1" applyFont="1" applyBorder="1" applyAlignment="1">
      <alignment horizontal="center"/>
    </xf>
    <xf numFmtId="49" fontId="30" fillId="0" borderId="17" xfId="0" applyNumberFormat="1" applyFont="1" applyBorder="1" applyAlignment="1">
      <alignment horizontal="center"/>
    </xf>
    <xf numFmtId="49" fontId="30" fillId="0" borderId="16"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17" xfId="0" applyNumberFormat="1" applyFont="1" applyBorder="1" applyAlignment="1">
      <alignment horizontal="center"/>
    </xf>
    <xf numFmtId="49" fontId="7" fillId="0" borderId="16" xfId="0" applyNumberFormat="1" applyFont="1" applyBorder="1" applyAlignment="1">
      <alignment horizontal="center"/>
    </xf>
    <xf numFmtId="2" fontId="8" fillId="0" borderId="11" xfId="0" applyNumberFormat="1" applyFont="1" applyFill="1" applyBorder="1" applyAlignment="1">
      <alignment horizontal="center" vertical="center" wrapText="1"/>
    </xf>
    <xf numFmtId="2" fontId="17"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Border="1" applyAlignment="1">
      <alignment horizontal="center" vertical="center"/>
    </xf>
    <xf numFmtId="49" fontId="11" fillId="0" borderId="0" xfId="0" applyNumberFormat="1" applyFont="1" applyFill="1" applyAlignment="1">
      <alignment horizontal="center" wrapText="1"/>
    </xf>
    <xf numFmtId="49" fontId="11" fillId="0" borderId="0" xfId="0" applyNumberFormat="1" applyFont="1" applyFill="1" applyAlignment="1">
      <alignment horizontal="center"/>
    </xf>
    <xf numFmtId="49" fontId="11" fillId="0" borderId="17"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17" xfId="0" applyNumberFormat="1" applyFont="1" applyFill="1" applyBorder="1" applyAlignment="1">
      <alignment horizontal="center"/>
    </xf>
    <xf numFmtId="2" fontId="11" fillId="0" borderId="16" xfId="0" applyNumberFormat="1" applyFont="1" applyFill="1" applyBorder="1" applyAlignment="1">
      <alignment horizontal="center"/>
    </xf>
    <xf numFmtId="2" fontId="0" fillId="0" borderId="0" xfId="0" applyNumberFormat="1" applyFont="1" applyFill="1" applyBorder="1" applyAlignment="1">
      <alignment horizontal="center"/>
    </xf>
    <xf numFmtId="0" fontId="28" fillId="0" borderId="0" xfId="0" applyNumberFormat="1" applyFont="1" applyFill="1" applyBorder="1" applyAlignment="1">
      <alignment horizontal="center"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xf>
    <xf numFmtId="49" fontId="11" fillId="0" borderId="17" xfId="0" applyNumberFormat="1" applyFont="1" applyFill="1" applyBorder="1" applyAlignment="1">
      <alignment horizontal="center"/>
    </xf>
    <xf numFmtId="49" fontId="11" fillId="0" borderId="16" xfId="0" applyNumberFormat="1" applyFont="1" applyFill="1" applyBorder="1" applyAlignment="1">
      <alignment horizontal="center"/>
    </xf>
    <xf numFmtId="0" fontId="19" fillId="0" borderId="0" xfId="0" applyNumberFormat="1" applyFont="1" applyFill="1" applyAlignment="1">
      <alignment horizontal="center"/>
    </xf>
    <xf numFmtId="0" fontId="28" fillId="0" borderId="0" xfId="0" applyNumberFormat="1" applyFont="1" applyFill="1" applyBorder="1" applyAlignment="1">
      <alignment horizontal="center"/>
    </xf>
    <xf numFmtId="0" fontId="19" fillId="0" borderId="0" xfId="0" applyNumberFormat="1" applyFont="1" applyFill="1" applyBorder="1" applyAlignment="1">
      <alignment horizontal="center"/>
    </xf>
    <xf numFmtId="0" fontId="7" fillId="0" borderId="11" xfId="0" applyFont="1" applyFill="1" applyBorder="1" applyAlignment="1">
      <alignment horizontal="center"/>
    </xf>
    <xf numFmtId="0" fontId="20" fillId="0" borderId="0" xfId="0" applyNumberFormat="1" applyFont="1" applyFill="1" applyAlignment="1">
      <alignment horizontal="center" wrapText="1"/>
    </xf>
    <xf numFmtId="0" fontId="12" fillId="0" borderId="11"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31" fillId="0" borderId="18" xfId="0" applyNumberFormat="1" applyFont="1" applyFill="1" applyBorder="1" applyAlignment="1">
      <alignment horizontal="center" vertical="center" wrapText="1"/>
    </xf>
    <xf numFmtId="0" fontId="31" fillId="0" borderId="28"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28"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2" fontId="11" fillId="0" borderId="11" xfId="0" applyNumberFormat="1" applyFont="1" applyFill="1" applyBorder="1" applyAlignment="1">
      <alignment horizontal="center" vertical="center" wrapText="1"/>
    </xf>
    <xf numFmtId="0" fontId="28" fillId="0" borderId="10" xfId="0" applyFont="1" applyFill="1" applyBorder="1" applyAlignment="1">
      <alignment horizontal="center" wrapText="1"/>
    </xf>
    <xf numFmtId="0" fontId="12" fillId="0" borderId="1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09" fillId="0" borderId="13"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2" fillId="0" borderId="0" xfId="0" applyFont="1" applyFill="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Border="1" applyAlignment="1">
      <alignment horizontal="left" wrapText="1"/>
    </xf>
    <xf numFmtId="0" fontId="12" fillId="0" borderId="1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2" fillId="0" borderId="3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9" fillId="0" borderId="0" xfId="0" applyNumberFormat="1" applyFont="1" applyFill="1" applyBorder="1" applyAlignment="1">
      <alignment horizontal="center" wrapText="1"/>
    </xf>
    <xf numFmtId="0" fontId="7" fillId="0" borderId="0" xfId="0" applyFont="1" applyFill="1" applyAlignment="1">
      <alignment horizontal="center"/>
    </xf>
    <xf numFmtId="0" fontId="37" fillId="0" borderId="10"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7" fillId="0" borderId="0" xfId="0" applyFont="1" applyFill="1" applyAlignment="1">
      <alignment horizontal="left"/>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6" fillId="0" borderId="0" xfId="0" applyFont="1" applyFill="1" applyBorder="1" applyAlignment="1">
      <alignment horizontal="center"/>
    </xf>
    <xf numFmtId="0" fontId="20" fillId="0" borderId="0" xfId="0" applyNumberFormat="1" applyFont="1" applyFill="1" applyAlignment="1">
      <alignment horizontal="center"/>
    </xf>
    <xf numFmtId="49" fontId="21" fillId="0" borderId="40" xfId="0" applyNumberFormat="1" applyFont="1" applyFill="1" applyBorder="1" applyAlignment="1" applyProtection="1">
      <alignment horizontal="center" vertical="center" wrapText="1"/>
      <protection/>
    </xf>
    <xf numFmtId="49" fontId="21" fillId="0" borderId="11" xfId="0" applyNumberFormat="1" applyFont="1" applyFill="1" applyBorder="1" applyAlignment="1" applyProtection="1">
      <alignment horizontal="center" vertical="center" wrapText="1"/>
      <protection/>
    </xf>
    <xf numFmtId="49" fontId="7" fillId="20" borderId="17" xfId="0" applyNumberFormat="1" applyFont="1" applyFill="1" applyBorder="1" applyAlignment="1" applyProtection="1">
      <alignment horizontal="center" vertical="center" wrapText="1"/>
      <protection/>
    </xf>
    <xf numFmtId="49" fontId="7" fillId="20" borderId="16" xfId="0" applyNumberFormat="1" applyFont="1" applyFill="1" applyBorder="1" applyAlignment="1" applyProtection="1">
      <alignment horizontal="center" vertical="center" wrapText="1"/>
      <protection/>
    </xf>
    <xf numFmtId="0" fontId="28" fillId="0" borderId="1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12" fillId="0" borderId="11" xfId="0" applyNumberFormat="1" applyFont="1" applyFill="1" applyBorder="1" applyAlignment="1">
      <alignment horizontal="center" vertical="center" wrapText="1"/>
    </xf>
    <xf numFmtId="49" fontId="12" fillId="0" borderId="1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28" fillId="0" borderId="10" xfId="0" applyNumberFormat="1" applyFont="1" applyFill="1" applyBorder="1" applyAlignment="1">
      <alignment horizontal="center" vertical="center"/>
    </xf>
    <xf numFmtId="49" fontId="19" fillId="0" borderId="0" xfId="0" applyNumberFormat="1" applyFont="1" applyFill="1" applyAlignment="1">
      <alignment horizontal="center"/>
    </xf>
    <xf numFmtId="49" fontId="19" fillId="0" borderId="0" xfId="0" applyNumberFormat="1" applyFont="1" applyFill="1" applyAlignment="1">
      <alignment horizontal="center" wrapText="1"/>
    </xf>
    <xf numFmtId="0" fontId="39" fillId="0" borderId="0" xfId="0" applyNumberFormat="1" applyFont="1" applyFill="1" applyAlignment="1">
      <alignment horizontal="center"/>
    </xf>
    <xf numFmtId="1" fontId="12" fillId="0" borderId="11" xfId="0" applyNumberFormat="1" applyFont="1" applyFill="1" applyBorder="1" applyAlignment="1">
      <alignment horizontal="center" vertical="center"/>
    </xf>
    <xf numFmtId="49" fontId="8" fillId="0" borderId="0" xfId="0" applyNumberFormat="1" applyFont="1" applyFill="1" applyAlignment="1">
      <alignment horizontal="left"/>
    </xf>
    <xf numFmtId="0" fontId="12" fillId="0" borderId="0" xfId="0" applyNumberFormat="1" applyFont="1" applyFill="1" applyBorder="1" applyAlignment="1">
      <alignment horizontal="left" wrapText="1"/>
    </xf>
    <xf numFmtId="49" fontId="12" fillId="0" borderId="41" xfId="0" applyNumberFormat="1" applyFont="1" applyFill="1" applyBorder="1" applyAlignment="1">
      <alignment horizontal="center" vertical="center" wrapText="1"/>
    </xf>
    <xf numFmtId="1" fontId="12" fillId="0" borderId="41" xfId="0" applyNumberFormat="1" applyFont="1" applyFill="1" applyBorder="1" applyAlignment="1">
      <alignment horizontal="center" vertical="center"/>
    </xf>
    <xf numFmtId="49" fontId="23" fillId="0" borderId="42" xfId="0" applyNumberFormat="1" applyFont="1" applyFill="1" applyBorder="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8" fillId="0" borderId="43" xfId="0" applyNumberFormat="1" applyFont="1" applyFill="1" applyBorder="1" applyAlignment="1" applyProtection="1">
      <alignment horizontal="center" vertical="center" wrapText="1"/>
      <protection/>
    </xf>
    <xf numFmtId="49" fontId="8" fillId="0" borderId="29" xfId="0" applyNumberFormat="1" applyFont="1" applyFill="1" applyBorder="1" applyAlignment="1" applyProtection="1">
      <alignment horizontal="center" vertical="center" wrapText="1"/>
      <protection/>
    </xf>
    <xf numFmtId="49" fontId="12" fillId="0" borderId="41"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28" fillId="0" borderId="0" xfId="0" applyNumberFormat="1" applyFont="1" applyFill="1" applyBorder="1" applyAlignment="1">
      <alignment horizontal="center" wrapText="1"/>
    </xf>
    <xf numFmtId="0" fontId="12" fillId="0" borderId="44"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26" fillId="0" borderId="40" xfId="0" applyNumberFormat="1" applyFont="1" applyFill="1" applyBorder="1" applyAlignment="1" applyProtection="1">
      <alignment horizontal="center" vertical="center" wrapText="1"/>
      <protection/>
    </xf>
    <xf numFmtId="49" fontId="26" fillId="0" borderId="11"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20" fillId="0" borderId="0" xfId="0" applyNumberFormat="1" applyFont="1" applyFill="1" applyAlignment="1">
      <alignment horizontal="left"/>
    </xf>
    <xf numFmtId="49" fontId="19" fillId="0" borderId="0" xfId="137" applyNumberFormat="1" applyFont="1" applyFill="1" applyAlignment="1">
      <alignment horizontal="center" vertical="center" wrapText="1"/>
      <protection/>
    </xf>
    <xf numFmtId="0" fontId="12" fillId="0" borderId="0" xfId="137" applyNumberFormat="1" applyFont="1" applyFill="1" applyBorder="1" applyAlignment="1">
      <alignment horizontal="left" vertical="center" wrapText="1"/>
      <protection/>
    </xf>
    <xf numFmtId="0" fontId="39" fillId="0" borderId="0" xfId="137" applyNumberFormat="1" applyFont="1" applyFill="1" applyAlignment="1">
      <alignment horizontal="center"/>
      <protection/>
    </xf>
    <xf numFmtId="49" fontId="8" fillId="0" borderId="0" xfId="137" applyNumberFormat="1" applyFont="1" applyFill="1" applyBorder="1" applyAlignment="1">
      <alignment horizontal="left" vertical="center" wrapText="1"/>
      <protection/>
    </xf>
    <xf numFmtId="49" fontId="12" fillId="0" borderId="0" xfId="137" applyNumberFormat="1" applyFont="1" applyFill="1" applyBorder="1" applyAlignment="1">
      <alignment horizontal="left" vertical="center" wrapText="1"/>
      <protection/>
    </xf>
    <xf numFmtId="49" fontId="23" fillId="0" borderId="13" xfId="137" applyNumberFormat="1" applyFont="1" applyFill="1" applyBorder="1" applyAlignment="1">
      <alignment horizontal="center" vertical="center"/>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7"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32" fillId="0" borderId="16" xfId="137" applyNumberFormat="1" applyFont="1" applyFill="1" applyBorder="1" applyAlignment="1">
      <alignment horizontal="center" vertical="center" wrapText="1"/>
      <protection/>
    </xf>
    <xf numFmtId="0" fontId="21" fillId="0" borderId="11" xfId="137" applyNumberFormat="1" applyFont="1" applyFill="1" applyBorder="1" applyAlignment="1">
      <alignment horizontal="center" vertical="center" wrapText="1"/>
      <protection/>
    </xf>
    <xf numFmtId="0" fontId="7" fillId="20" borderId="17" xfId="0" applyNumberFormat="1" applyFont="1" applyFill="1" applyBorder="1" applyAlignment="1">
      <alignment horizontal="center" vertical="center"/>
    </xf>
    <xf numFmtId="0" fontId="7" fillId="20" borderId="16" xfId="0" applyNumberFormat="1" applyFont="1" applyFill="1" applyBorder="1" applyAlignment="1">
      <alignment horizontal="center" vertical="center"/>
    </xf>
    <xf numFmtId="0" fontId="19" fillId="0" borderId="0" xfId="137" applyNumberFormat="1" applyFont="1" applyFill="1" applyBorder="1" applyAlignment="1">
      <alignment horizontal="center" wrapText="1"/>
      <protection/>
    </xf>
    <xf numFmtId="0" fontId="19" fillId="0" borderId="0" xfId="137" applyNumberFormat="1" applyFont="1" applyFill="1" applyAlignment="1">
      <alignment horizontal="center"/>
      <protection/>
    </xf>
    <xf numFmtId="0" fontId="20" fillId="0" borderId="0" xfId="137" applyNumberFormat="1" applyFont="1" applyFill="1" applyAlignment="1">
      <alignment horizontal="center" wrapText="1"/>
      <protection/>
    </xf>
    <xf numFmtId="0" fontId="28" fillId="0" borderId="0" xfId="137" applyNumberFormat="1" applyFont="1" applyFill="1" applyBorder="1" applyAlignment="1">
      <alignment horizontal="center" wrapText="1"/>
      <protection/>
    </xf>
    <xf numFmtId="3" fontId="23" fillId="0" borderId="0" xfId="137" applyNumberFormat="1" applyFont="1" applyFill="1" applyBorder="1" applyAlignment="1">
      <alignment horizontal="center" vertical="center" wrapText="1"/>
      <protection/>
    </xf>
    <xf numFmtId="0" fontId="19" fillId="0" borderId="0" xfId="137" applyNumberFormat="1" applyFont="1" applyFill="1" applyBorder="1" applyAlignment="1">
      <alignment horizontal="center" vertical="center" wrapText="1"/>
      <protection/>
    </xf>
    <xf numFmtId="2" fontId="19" fillId="0" borderId="0" xfId="137" applyNumberFormat="1" applyFont="1" applyFill="1" applyBorder="1" applyAlignment="1">
      <alignment horizontal="center" vertical="center" wrapText="1"/>
      <protection/>
    </xf>
    <xf numFmtId="0" fontId="7" fillId="0" borderId="0" xfId="137" applyNumberFormat="1" applyFont="1" applyFill="1" applyAlignment="1">
      <alignment horizontal="center"/>
      <protection/>
    </xf>
    <xf numFmtId="49" fontId="19" fillId="0" borderId="0" xfId="137" applyNumberFormat="1" applyFont="1" applyFill="1" applyBorder="1" applyAlignment="1">
      <alignment horizontal="center" vertical="center" wrapText="1"/>
      <protection/>
    </xf>
    <xf numFmtId="0" fontId="7" fillId="0" borderId="0" xfId="137" applyFont="1" applyFill="1" applyAlignment="1">
      <alignment horizontal="center"/>
      <protection/>
    </xf>
    <xf numFmtId="49" fontId="23" fillId="0" borderId="0" xfId="137" applyNumberFormat="1" applyFont="1" applyFill="1" applyAlignment="1">
      <alignment horizontal="center"/>
      <protection/>
    </xf>
    <xf numFmtId="49" fontId="27" fillId="0" borderId="0" xfId="137" applyNumberFormat="1" applyFont="1" applyFill="1" applyAlignment="1">
      <alignment horizontal="center"/>
      <protection/>
    </xf>
    <xf numFmtId="49" fontId="0" fillId="0" borderId="0" xfId="137" applyNumberFormat="1" applyFont="1" applyFill="1" applyBorder="1" applyAlignment="1">
      <alignment horizontal="left"/>
      <protection/>
    </xf>
    <xf numFmtId="49" fontId="7" fillId="0" borderId="0" xfId="137" applyNumberFormat="1" applyFont="1" applyFill="1" applyBorder="1" applyAlignment="1">
      <alignment horizontal="left"/>
      <protection/>
    </xf>
    <xf numFmtId="49" fontId="0" fillId="0" borderId="0" xfId="137" applyNumberFormat="1" applyFont="1" applyFill="1" applyAlignment="1">
      <alignment horizontal="justify" wrapText="1"/>
      <protection/>
    </xf>
    <xf numFmtId="49" fontId="0" fillId="0" borderId="0" xfId="137" applyNumberFormat="1" applyFont="1" applyFill="1" applyAlignment="1">
      <alignment horizontal="justify" wrapText="1"/>
      <protection/>
    </xf>
    <xf numFmtId="0" fontId="7" fillId="0" borderId="0" xfId="137" applyNumberFormat="1" applyFont="1" applyFill="1" applyBorder="1" applyAlignment="1">
      <alignment horizontal="left" wrapText="1"/>
      <protection/>
    </xf>
    <xf numFmtId="0" fontId="0" fillId="0" borderId="0" xfId="137" applyNumberFormat="1" applyFont="1" applyFill="1" applyBorder="1" applyAlignment="1">
      <alignment horizontal="left" wrapText="1"/>
      <protection/>
    </xf>
    <xf numFmtId="0" fontId="27" fillId="0" borderId="13" xfId="137" applyNumberFormat="1" applyFont="1" applyFill="1" applyBorder="1" applyAlignment="1">
      <alignment horizontal="center" vertical="center"/>
      <protection/>
    </xf>
    <xf numFmtId="49" fontId="23" fillId="0" borderId="0" xfId="137" applyNumberFormat="1" applyFont="1" applyFill="1" applyBorder="1" applyAlignment="1">
      <alignment horizontal="left"/>
      <protection/>
    </xf>
    <xf numFmtId="49" fontId="7" fillId="0" borderId="0" xfId="137" applyNumberFormat="1" applyFont="1" applyFill="1" applyBorder="1" applyAlignment="1">
      <alignment horizontal="left" wrapText="1"/>
      <protection/>
    </xf>
    <xf numFmtId="49" fontId="0" fillId="0" borderId="0" xfId="137" applyNumberFormat="1" applyFont="1" applyFill="1" applyAlignment="1">
      <alignment horizontal="left"/>
      <protection/>
    </xf>
    <xf numFmtId="49" fontId="7" fillId="0" borderId="0" xfId="137" applyNumberFormat="1" applyFont="1" applyFill="1" applyAlignment="1">
      <alignment horizontal="center" vertical="top" wrapText="1"/>
      <protection/>
    </xf>
    <xf numFmtId="0" fontId="10" fillId="0" borderId="26" xfId="137" applyNumberFormat="1" applyFont="1" applyFill="1" applyBorder="1" applyAlignment="1">
      <alignment horizontal="center" vertical="center" wrapText="1"/>
      <protection/>
    </xf>
    <xf numFmtId="0" fontId="10" fillId="0" borderId="27" xfId="137" applyNumberFormat="1" applyFont="1" applyFill="1" applyBorder="1" applyAlignment="1">
      <alignment horizontal="center" vertical="center" wrapText="1"/>
      <protection/>
    </xf>
    <xf numFmtId="0" fontId="10" fillId="0" borderId="15" xfId="137" applyNumberFormat="1" applyFont="1" applyFill="1" applyBorder="1" applyAlignment="1">
      <alignment horizontal="center" vertical="center" wrapText="1"/>
      <protection/>
    </xf>
    <xf numFmtId="0" fontId="10" fillId="0" borderId="36" xfId="137" applyNumberFormat="1" applyFont="1" applyFill="1" applyBorder="1" applyAlignment="1">
      <alignment horizontal="center" vertical="center" wrapText="1"/>
      <protection/>
    </xf>
    <xf numFmtId="49" fontId="10" fillId="0" borderId="17" xfId="137" applyNumberFormat="1" applyFont="1" applyFill="1" applyBorder="1" applyAlignment="1">
      <alignment horizontal="center" vertical="center" wrapText="1"/>
      <protection/>
    </xf>
    <xf numFmtId="49" fontId="10" fillId="0" borderId="37" xfId="137" applyNumberFormat="1" applyFont="1" applyFill="1" applyBorder="1" applyAlignment="1">
      <alignment horizontal="center" vertical="center" wrapText="1"/>
      <protection/>
    </xf>
    <xf numFmtId="49" fontId="10" fillId="0" borderId="11" xfId="137" applyNumberFormat="1" applyFont="1" applyFill="1" applyBorder="1" applyAlignment="1">
      <alignment horizontal="center" vertical="center" wrapText="1"/>
      <protection/>
    </xf>
    <xf numFmtId="49" fontId="10" fillId="0" borderId="16" xfId="137" applyNumberFormat="1" applyFont="1" applyFill="1" applyBorder="1" applyAlignment="1">
      <alignment horizontal="center" vertical="center" wrapText="1"/>
      <protection/>
    </xf>
    <xf numFmtId="49" fontId="10" fillId="0" borderId="13" xfId="137" applyNumberFormat="1" applyFont="1" applyFill="1" applyBorder="1" applyAlignment="1">
      <alignment horizontal="center" vertical="center" wrapText="1"/>
      <protection/>
    </xf>
    <xf numFmtId="0" fontId="12" fillId="20" borderId="17" xfId="0" applyNumberFormat="1" applyFont="1" applyFill="1" applyBorder="1" applyAlignment="1">
      <alignment horizontal="center"/>
    </xf>
    <xf numFmtId="0" fontId="12" fillId="20" borderId="16" xfId="0" applyNumberFormat="1" applyFont="1" applyFill="1" applyBorder="1" applyAlignment="1">
      <alignment horizontal="center"/>
    </xf>
    <xf numFmtId="49" fontId="0" fillId="0" borderId="11" xfId="137" applyNumberFormat="1" applyFont="1" applyFill="1" applyBorder="1" applyAlignment="1">
      <alignment horizontal="center"/>
      <protection/>
    </xf>
    <xf numFmtId="49" fontId="10" fillId="0" borderId="30" xfId="137" applyNumberFormat="1" applyFont="1" applyFill="1" applyBorder="1" applyAlignment="1">
      <alignment horizontal="center" vertical="center" wrapText="1"/>
      <protection/>
    </xf>
    <xf numFmtId="49" fontId="26" fillId="0" borderId="17" xfId="137" applyNumberFormat="1" applyFont="1" applyFill="1" applyBorder="1" applyAlignment="1">
      <alignment horizontal="center" vertical="center" wrapText="1"/>
      <protection/>
    </xf>
    <xf numFmtId="49" fontId="26" fillId="0" borderId="16" xfId="137" applyNumberFormat="1" applyFont="1" applyFill="1" applyBorder="1" applyAlignment="1">
      <alignment horizontal="center" vertical="center" wrapText="1"/>
      <protection/>
    </xf>
    <xf numFmtId="49" fontId="8" fillId="0" borderId="11" xfId="137" applyNumberFormat="1" applyFont="1" applyFill="1" applyBorder="1" applyAlignment="1">
      <alignment horizontal="center" vertical="center" wrapText="1"/>
      <protection/>
    </xf>
    <xf numFmtId="49" fontId="0" fillId="0" borderId="0" xfId="137" applyNumberFormat="1" applyFont="1" applyFill="1" applyAlignment="1">
      <alignment horizontal="left" wrapText="1"/>
      <protection/>
    </xf>
    <xf numFmtId="49" fontId="7" fillId="0" borderId="0" xfId="137" applyNumberFormat="1" applyFont="1" applyFill="1" applyAlignment="1">
      <alignment horizontal="left" wrapText="1"/>
      <protection/>
    </xf>
    <xf numFmtId="0" fontId="7" fillId="0" borderId="0" xfId="137" applyNumberFormat="1" applyFont="1" applyFill="1" applyAlignment="1">
      <alignment horizontal="left" wrapText="1"/>
      <protection/>
    </xf>
    <xf numFmtId="49" fontId="0" fillId="0" borderId="0" xfId="137" applyNumberFormat="1" applyFont="1" applyFill="1" applyAlignment="1">
      <alignment horizontal="left" wrapText="1"/>
      <protection/>
    </xf>
    <xf numFmtId="49" fontId="19" fillId="0" borderId="0" xfId="137" applyNumberFormat="1" applyFont="1" applyFill="1" applyAlignment="1">
      <alignment horizontal="center" wrapText="1"/>
      <protection/>
    </xf>
    <xf numFmtId="0" fontId="19" fillId="0" borderId="0" xfId="137" applyNumberFormat="1" applyFont="1" applyFill="1" applyAlignment="1">
      <alignment horizontal="center" wrapText="1"/>
      <protection/>
    </xf>
    <xf numFmtId="49" fontId="23" fillId="0" borderId="13" xfId="137" applyNumberFormat="1" applyFont="1" applyFill="1" applyBorder="1" applyAlignment="1">
      <alignment horizontal="left"/>
      <protection/>
    </xf>
    <xf numFmtId="49" fontId="0" fillId="0" borderId="11" xfId="137" applyNumberFormat="1" applyFont="1" applyFill="1" applyBorder="1" applyAlignment="1">
      <alignment horizontal="center" vertical="center"/>
      <protection/>
    </xf>
    <xf numFmtId="49" fontId="18" fillId="0" borderId="0" xfId="137" applyNumberFormat="1" applyFont="1" applyFill="1" applyBorder="1" applyAlignment="1">
      <alignment wrapText="1"/>
      <protection/>
    </xf>
    <xf numFmtId="0" fontId="19" fillId="0" borderId="0" xfId="137" applyFont="1" applyFill="1" applyAlignment="1">
      <alignment horizontal="center"/>
      <protection/>
    </xf>
    <xf numFmtId="49" fontId="21" fillId="0" borderId="11" xfId="137" applyNumberFormat="1" applyFont="1" applyFill="1" applyBorder="1" applyAlignment="1">
      <alignment horizontal="center" wrapText="1"/>
      <protection/>
    </xf>
    <xf numFmtId="0" fontId="12" fillId="20" borderId="17" xfId="0" applyNumberFormat="1" applyFont="1" applyFill="1" applyBorder="1" applyAlignment="1">
      <alignment horizontal="center" wrapText="1"/>
    </xf>
    <xf numFmtId="0" fontId="12" fillId="20" borderId="16" xfId="0" applyNumberFormat="1" applyFont="1" applyFill="1" applyBorder="1" applyAlignment="1">
      <alignment horizontal="center" wrapText="1"/>
    </xf>
    <xf numFmtId="0" fontId="28" fillId="0" borderId="0" xfId="137" applyNumberFormat="1" applyFont="1" applyFill="1" applyBorder="1" applyAlignment="1">
      <alignment horizontal="center"/>
      <protection/>
    </xf>
    <xf numFmtId="0" fontId="19" fillId="0" borderId="0" xfId="137" applyNumberFormat="1" applyFont="1" applyFill="1" applyBorder="1" applyAlignment="1">
      <alignment horizontal="center"/>
      <protection/>
    </xf>
    <xf numFmtId="49" fontId="19" fillId="0" borderId="0" xfId="137" applyNumberFormat="1" applyFont="1" applyFill="1" applyBorder="1" applyAlignment="1">
      <alignment horizontal="center" wrapText="1"/>
      <protection/>
    </xf>
    <xf numFmtId="49" fontId="18" fillId="0" borderId="0" xfId="137" applyNumberFormat="1" applyFont="1" applyFill="1" applyBorder="1" applyAlignment="1">
      <alignment horizontal="center" wrapText="1"/>
      <protection/>
    </xf>
    <xf numFmtId="2" fontId="19" fillId="0" borderId="0" xfId="137" applyNumberFormat="1" applyFont="1" applyFill="1" applyAlignment="1">
      <alignment horizontal="center"/>
      <protection/>
    </xf>
    <xf numFmtId="49" fontId="19" fillId="0" borderId="0" xfId="140" applyNumberFormat="1" applyFont="1" applyFill="1" applyAlignment="1">
      <alignment horizontal="center" wrapText="1"/>
      <protection/>
    </xf>
    <xf numFmtId="0" fontId="39" fillId="0" borderId="0" xfId="140" applyNumberFormat="1" applyFont="1" applyFill="1" applyAlignment="1">
      <alignment horizontal="center"/>
      <protection/>
    </xf>
    <xf numFmtId="0" fontId="28" fillId="0" borderId="0" xfId="140" applyNumberFormat="1" applyFont="1" applyFill="1" applyAlignment="1">
      <alignment horizontal="center"/>
      <protection/>
    </xf>
    <xf numFmtId="49" fontId="17" fillId="0" borderId="26" xfId="140" applyNumberFormat="1" applyFont="1" applyFill="1" applyBorder="1" applyAlignment="1">
      <alignment horizontal="center" vertical="center" wrapText="1" readingOrder="1"/>
      <protection/>
    </xf>
    <xf numFmtId="49" fontId="17" fillId="0" borderId="27" xfId="140" applyNumberFormat="1" applyFont="1" applyFill="1" applyBorder="1" applyAlignment="1">
      <alignment horizontal="center" vertical="center" wrapText="1" readingOrder="1"/>
      <protection/>
    </xf>
    <xf numFmtId="49" fontId="17" fillId="0" borderId="15" xfId="140" applyNumberFormat="1" applyFont="1" applyFill="1" applyBorder="1" applyAlignment="1">
      <alignment horizontal="center" vertical="center" wrapText="1" readingOrder="1"/>
      <protection/>
    </xf>
    <xf numFmtId="49" fontId="17" fillId="0" borderId="36" xfId="140" applyNumberFormat="1" applyFont="1" applyFill="1" applyBorder="1" applyAlignment="1">
      <alignment horizontal="center" vertical="center" wrapText="1" readingOrder="1"/>
      <protection/>
    </xf>
    <xf numFmtId="49" fontId="17" fillId="0" borderId="11" xfId="140" applyNumberFormat="1" applyFont="1" applyFill="1" applyBorder="1" applyAlignment="1">
      <alignment horizontal="center" vertical="center" wrapText="1" readingOrder="1"/>
      <protection/>
    </xf>
    <xf numFmtId="0" fontId="17" fillId="0" borderId="11" xfId="140" applyFont="1" applyFill="1" applyBorder="1" applyAlignment="1">
      <alignment horizontal="center" vertical="center" wrapText="1" readingOrder="1"/>
      <protection/>
    </xf>
    <xf numFmtId="49" fontId="11" fillId="20" borderId="17" xfId="139" applyNumberFormat="1" applyFont="1" applyFill="1" applyBorder="1" applyAlignment="1">
      <alignment horizontal="center" wrapText="1"/>
      <protection/>
    </xf>
    <xf numFmtId="49" fontId="11" fillId="20" borderId="16" xfId="139" applyNumberFormat="1" applyFont="1" applyFill="1" applyBorder="1" applyAlignment="1">
      <alignment horizontal="center" wrapText="1"/>
      <protection/>
    </xf>
    <xf numFmtId="0" fontId="28" fillId="0" borderId="0" xfId="140" applyNumberFormat="1" applyFont="1" applyFill="1" applyBorder="1" applyAlignment="1">
      <alignment horizontal="center" wrapText="1"/>
      <protection/>
    </xf>
    <xf numFmtId="0" fontId="28" fillId="0" borderId="10" xfId="140" applyNumberFormat="1" applyFont="1" applyFill="1" applyBorder="1" applyAlignment="1">
      <alignment horizontal="center"/>
      <protection/>
    </xf>
    <xf numFmtId="0" fontId="19" fillId="0" borderId="0" xfId="140" applyNumberFormat="1" applyFont="1" applyFill="1" applyBorder="1" applyAlignment="1">
      <alignment horizontal="center" wrapText="1"/>
      <protection/>
    </xf>
    <xf numFmtId="0" fontId="19" fillId="0" borderId="0" xfId="140" applyNumberFormat="1" applyFont="1" applyFill="1" applyBorder="1" applyAlignment="1">
      <alignment horizontal="center"/>
      <protection/>
    </xf>
    <xf numFmtId="49" fontId="17" fillId="0" borderId="0" xfId="140" applyNumberFormat="1" applyFont="1" applyFill="1" applyBorder="1" applyAlignment="1">
      <alignment horizontal="center" wrapText="1"/>
      <protection/>
    </xf>
    <xf numFmtId="49" fontId="18" fillId="0" borderId="0" xfId="140" applyNumberFormat="1" applyFont="1" applyFill="1" applyBorder="1" applyAlignment="1">
      <alignment horizontal="left" wrapText="1"/>
      <protection/>
    </xf>
    <xf numFmtId="0" fontId="20" fillId="0" borderId="0" xfId="140" applyNumberFormat="1" applyFont="1" applyFill="1" applyAlignment="1">
      <alignment horizontal="center"/>
      <protection/>
    </xf>
    <xf numFmtId="0" fontId="111" fillId="0" borderId="0" xfId="140" applyNumberFormat="1" applyFont="1" applyFill="1" applyAlignment="1">
      <alignment horizontal="center"/>
      <protection/>
    </xf>
    <xf numFmtId="0" fontId="145" fillId="0" borderId="0" xfId="140" applyNumberFormat="1" applyFont="1" applyFill="1" applyAlignment="1">
      <alignment horizontal="center"/>
      <protection/>
    </xf>
    <xf numFmtId="0" fontId="19" fillId="0" borderId="0" xfId="140" applyNumberFormat="1" applyFont="1" applyFill="1" applyAlignment="1">
      <alignment horizontal="center" wrapText="1"/>
      <protection/>
    </xf>
    <xf numFmtId="3" fontId="0" fillId="0" borderId="0" xfId="140" applyNumberFormat="1" applyFont="1" applyFill="1" applyBorder="1" applyAlignment="1">
      <alignment horizontal="left"/>
      <protection/>
    </xf>
    <xf numFmtId="3" fontId="7" fillId="0" borderId="0" xfId="140" applyNumberFormat="1" applyFont="1" applyFill="1" applyBorder="1" applyAlignment="1">
      <alignment horizontal="left"/>
      <protection/>
    </xf>
    <xf numFmtId="0" fontId="7" fillId="0" borderId="0" xfId="140" applyFont="1" applyFill="1" applyBorder="1" applyAlignment="1">
      <alignment horizontal="left"/>
      <protection/>
    </xf>
    <xf numFmtId="0" fontId="39" fillId="0" borderId="0" xfId="140" applyFont="1" applyFill="1" applyAlignment="1">
      <alignment horizontal="center"/>
      <protection/>
    </xf>
    <xf numFmtId="0" fontId="28" fillId="0" borderId="0" xfId="140" applyFont="1" applyFill="1" applyAlignment="1">
      <alignment horizontal="center"/>
      <protection/>
    </xf>
    <xf numFmtId="49" fontId="11" fillId="0" borderId="26" xfId="140" applyNumberFormat="1" applyFont="1" applyFill="1" applyBorder="1" applyAlignment="1">
      <alignment horizontal="center" vertical="center"/>
      <protection/>
    </xf>
    <xf numFmtId="49" fontId="11" fillId="0" borderId="27" xfId="140" applyNumberFormat="1" applyFont="1" applyFill="1" applyBorder="1" applyAlignment="1">
      <alignment horizontal="center" vertical="center"/>
      <protection/>
    </xf>
    <xf numFmtId="49" fontId="11" fillId="0" borderId="15" xfId="140" applyNumberFormat="1" applyFont="1" applyFill="1" applyBorder="1" applyAlignment="1">
      <alignment horizontal="center" vertical="center"/>
      <protection/>
    </xf>
    <xf numFmtId="49" fontId="11" fillId="0" borderId="36" xfId="140" applyNumberFormat="1" applyFont="1" applyFill="1" applyBorder="1" applyAlignment="1">
      <alignment horizontal="center" vertical="center"/>
      <protection/>
    </xf>
    <xf numFmtId="0" fontId="31" fillId="0" borderId="11" xfId="140" applyFont="1" applyFill="1" applyBorder="1" applyAlignment="1">
      <alignment horizontal="center" vertical="center" wrapText="1"/>
      <protection/>
    </xf>
    <xf numFmtId="0" fontId="31" fillId="0" borderId="11" xfId="140" applyFont="1" applyFill="1" applyBorder="1" applyAlignment="1">
      <alignment horizontal="center" vertical="center"/>
      <protection/>
    </xf>
    <xf numFmtId="0" fontId="88" fillId="0" borderId="11" xfId="140" applyFont="1" applyFill="1" applyBorder="1" applyAlignment="1">
      <alignment horizontal="center" vertical="center"/>
      <protection/>
    </xf>
    <xf numFmtId="0" fontId="112" fillId="0" borderId="11" xfId="140" applyFont="1" applyFill="1" applyBorder="1" applyAlignment="1">
      <alignment horizontal="center" vertical="center"/>
      <protection/>
    </xf>
    <xf numFmtId="0" fontId="17" fillId="20" borderId="17" xfId="139" applyFont="1" applyFill="1" applyBorder="1" applyAlignment="1">
      <alignment horizontal="center" vertical="center" wrapText="1"/>
      <protection/>
    </xf>
    <xf numFmtId="0" fontId="17" fillId="20" borderId="16" xfId="139" applyFont="1" applyFill="1" applyBorder="1" applyAlignment="1">
      <alignment horizontal="center" vertical="center" wrapText="1"/>
      <protection/>
    </xf>
    <xf numFmtId="0" fontId="28" fillId="0" borderId="0" xfId="140" applyFont="1" applyFill="1" applyBorder="1" applyAlignment="1">
      <alignment horizontal="center" wrapText="1"/>
      <protection/>
    </xf>
    <xf numFmtId="0" fontId="19" fillId="0" borderId="0" xfId="140" applyFont="1" applyFill="1" applyBorder="1" applyAlignment="1">
      <alignment horizontal="center" wrapText="1"/>
      <protection/>
    </xf>
    <xf numFmtId="0" fontId="17" fillId="0" borderId="0" xfId="140" applyFont="1" applyFill="1" applyBorder="1" applyAlignment="1">
      <alignment horizontal="center" wrapText="1"/>
      <protection/>
    </xf>
    <xf numFmtId="49" fontId="24" fillId="0" borderId="0" xfId="140" applyNumberFormat="1" applyFont="1" applyFill="1" applyBorder="1" applyAlignment="1">
      <alignment horizontal="left" wrapText="1"/>
      <protection/>
    </xf>
    <xf numFmtId="49" fontId="20" fillId="0" borderId="0" xfId="140" applyNumberFormat="1" applyFont="1" applyFill="1" applyAlignment="1">
      <alignment horizontal="center"/>
      <protection/>
    </xf>
    <xf numFmtId="0" fontId="19" fillId="0" borderId="0" xfId="140" applyFont="1" applyFill="1" applyBorder="1" applyAlignment="1">
      <alignment horizontal="center"/>
      <protection/>
    </xf>
    <xf numFmtId="0" fontId="111" fillId="0" borderId="0" xfId="140" applyFont="1" applyFill="1" applyAlignment="1">
      <alignment horizontal="center"/>
      <protection/>
    </xf>
    <xf numFmtId="49" fontId="11" fillId="0" borderId="17" xfId="140" applyNumberFormat="1" applyFont="1" applyFill="1" applyBorder="1" applyAlignment="1">
      <alignment horizontal="center" vertical="center"/>
      <protection/>
    </xf>
    <xf numFmtId="49" fontId="11" fillId="0" borderId="37" xfId="140" applyNumberFormat="1" applyFont="1" applyFill="1" applyBorder="1" applyAlignment="1">
      <alignment horizontal="center" vertical="center"/>
      <protection/>
    </xf>
    <xf numFmtId="49" fontId="11" fillId="0" borderId="17" xfId="140" applyNumberFormat="1" applyFont="1" applyFill="1" applyBorder="1" applyAlignment="1">
      <alignment horizontal="center" vertical="center" wrapText="1"/>
      <protection/>
    </xf>
    <xf numFmtId="49" fontId="18" fillId="0" borderId="0" xfId="140" applyNumberFormat="1" applyFont="1" applyFill="1" applyAlignment="1">
      <alignment horizontal="center"/>
      <protection/>
    </xf>
    <xf numFmtId="49" fontId="17" fillId="0" borderId="12" xfId="140" applyNumberFormat="1" applyFont="1" applyFill="1" applyBorder="1" applyAlignment="1">
      <alignment horizontal="center" vertical="center" wrapText="1"/>
      <protection/>
    </xf>
    <xf numFmtId="49" fontId="17" fillId="0" borderId="30" xfId="140" applyNumberFormat="1" applyFont="1" applyFill="1" applyBorder="1" applyAlignment="1">
      <alignment horizontal="center" vertical="center" wrapText="1"/>
      <protection/>
    </xf>
    <xf numFmtId="49" fontId="90" fillId="0" borderId="17" xfId="140" applyNumberFormat="1" applyFont="1" applyFill="1" applyBorder="1" applyAlignment="1">
      <alignment horizontal="center" vertical="center" wrapText="1"/>
      <protection/>
    </xf>
    <xf numFmtId="49" fontId="90" fillId="0" borderId="16" xfId="140" applyNumberFormat="1" applyFont="1" applyFill="1" applyBorder="1" applyAlignment="1">
      <alignment horizontal="center" vertical="center" wrapText="1"/>
      <protection/>
    </xf>
    <xf numFmtId="49" fontId="11" fillId="20" borderId="17" xfId="139" applyNumberFormat="1" applyFont="1" applyFill="1" applyBorder="1" applyAlignment="1">
      <alignment horizontal="center" vertical="center" wrapText="1"/>
      <protection/>
    </xf>
    <xf numFmtId="49" fontId="11" fillId="20" borderId="16" xfId="139" applyNumberFormat="1" applyFont="1" applyFill="1" applyBorder="1" applyAlignment="1">
      <alignment horizontal="center" vertical="center" wrapText="1"/>
      <protection/>
    </xf>
    <xf numFmtId="49" fontId="19" fillId="0" borderId="0" xfId="140" applyNumberFormat="1" applyFont="1" applyFill="1" applyAlignment="1">
      <alignment horizontal="center"/>
      <protection/>
    </xf>
    <xf numFmtId="0" fontId="7" fillId="0" borderId="0" xfId="140" applyNumberFormat="1" applyFont="1" applyFill="1" applyBorder="1" applyAlignment="1">
      <alignment horizontal="left"/>
      <protection/>
    </xf>
    <xf numFmtId="49" fontId="11" fillId="0" borderId="11"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protection/>
    </xf>
    <xf numFmtId="49" fontId="11" fillId="0" borderId="28" xfId="140" applyNumberFormat="1" applyFont="1" applyFill="1" applyBorder="1" applyAlignment="1">
      <alignment horizontal="center" vertical="center"/>
      <protection/>
    </xf>
    <xf numFmtId="49" fontId="19" fillId="0" borderId="0" xfId="140" applyNumberFormat="1" applyFont="1" applyFill="1" applyBorder="1" applyAlignment="1">
      <alignment horizontal="center" wrapText="1"/>
      <protection/>
    </xf>
    <xf numFmtId="49" fontId="28" fillId="0" borderId="0" xfId="140" applyNumberFormat="1" applyFont="1" applyFill="1" applyAlignment="1">
      <alignment horizontal="center"/>
      <protection/>
    </xf>
    <xf numFmtId="49" fontId="28" fillId="0" borderId="0" xfId="140" applyNumberFormat="1" applyFont="1" applyFill="1" applyBorder="1" applyAlignment="1">
      <alignment horizontal="center" wrapText="1"/>
      <protection/>
    </xf>
    <xf numFmtId="0" fontId="28" fillId="0" borderId="0" xfId="140" applyNumberFormat="1" applyFont="1" applyFill="1" applyBorder="1" applyAlignment="1">
      <alignment horizontal="center"/>
      <protection/>
    </xf>
    <xf numFmtId="49" fontId="11" fillId="0" borderId="12" xfId="140" applyNumberFormat="1" applyFont="1" applyFill="1" applyBorder="1" applyAlignment="1">
      <alignment horizontal="center" vertical="center" wrapText="1"/>
      <protection/>
    </xf>
    <xf numFmtId="49" fontId="11" fillId="0" borderId="30" xfId="140" applyNumberFormat="1" applyFont="1" applyFill="1" applyBorder="1" applyAlignment="1">
      <alignment horizontal="center" vertical="center" wrapText="1"/>
      <protection/>
    </xf>
    <xf numFmtId="49" fontId="11" fillId="0" borderId="14" xfId="140" applyNumberFormat="1" applyFont="1" applyFill="1" applyBorder="1" applyAlignment="1">
      <alignment horizontal="center" vertical="center" wrapText="1"/>
      <protection/>
    </xf>
    <xf numFmtId="49" fontId="11" fillId="0" borderId="16" xfId="140" applyNumberFormat="1" applyFont="1" applyFill="1" applyBorder="1" applyAlignment="1">
      <alignment horizontal="center" vertical="center" wrapText="1"/>
      <protection/>
    </xf>
    <xf numFmtId="0" fontId="0" fillId="0" borderId="0" xfId="140" applyFont="1" applyFill="1" applyBorder="1" applyAlignment="1">
      <alignment horizontal="left"/>
      <protection/>
    </xf>
    <xf numFmtId="0" fontId="19" fillId="0" borderId="0" xfId="140" applyFont="1" applyFill="1" applyAlignment="1">
      <alignment horizontal="center"/>
      <protection/>
    </xf>
    <xf numFmtId="3" fontId="0" fillId="0" borderId="0" xfId="140" applyNumberFormat="1" applyFont="1" applyFill="1" applyBorder="1" applyAlignment="1">
      <alignment horizontal="left"/>
      <protection/>
    </xf>
    <xf numFmtId="0" fontId="19" fillId="0" borderId="0" xfId="140" applyFont="1" applyFill="1" applyAlignment="1">
      <alignment horizontal="center" wrapText="1"/>
      <protection/>
    </xf>
    <xf numFmtId="0" fontId="11" fillId="0" borderId="16" xfId="140" applyFont="1" applyFill="1" applyBorder="1" applyAlignment="1">
      <alignment horizontal="center" vertical="center" wrapText="1"/>
      <protection/>
    </xf>
    <xf numFmtId="0" fontId="11" fillId="0" borderId="11" xfId="140" applyFont="1" applyFill="1" applyBorder="1" applyAlignment="1">
      <alignment horizontal="center" vertical="center"/>
      <protection/>
    </xf>
    <xf numFmtId="0" fontId="11" fillId="0" borderId="11" xfId="140" applyFont="1" applyFill="1" applyBorder="1" applyAlignment="1">
      <alignment horizontal="center" vertical="center" wrapText="1"/>
      <protection/>
    </xf>
    <xf numFmtId="0" fontId="17" fillId="0" borderId="11" xfId="140"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protection/>
    </xf>
    <xf numFmtId="49" fontId="11" fillId="0" borderId="0" xfId="140" applyNumberFormat="1" applyFont="1" applyFill="1" applyBorder="1" applyAlignment="1">
      <alignment horizontal="center" vertical="center"/>
      <protection/>
    </xf>
    <xf numFmtId="49" fontId="11" fillId="0" borderId="13" xfId="140" applyNumberFormat="1" applyFont="1" applyFill="1" applyBorder="1" applyAlignment="1">
      <alignment horizontal="center" vertical="center"/>
      <protection/>
    </xf>
    <xf numFmtId="0" fontId="11" fillId="0" borderId="12" xfId="140" applyFont="1" applyFill="1" applyBorder="1" applyAlignment="1">
      <alignment horizontal="center" vertical="center" wrapText="1"/>
      <protection/>
    </xf>
    <xf numFmtId="0" fontId="11" fillId="0" borderId="30" xfId="140" applyFont="1" applyFill="1" applyBorder="1" applyAlignment="1">
      <alignment horizontal="center" vertical="center" wrapText="1"/>
      <protection/>
    </xf>
    <xf numFmtId="0" fontId="11" fillId="0" borderId="14" xfId="140" applyFont="1" applyFill="1" applyBorder="1" applyAlignment="1">
      <alignment horizontal="center" vertical="center" wrapText="1"/>
      <protection/>
    </xf>
    <xf numFmtId="0" fontId="11" fillId="0" borderId="17" xfId="140" applyFont="1" applyFill="1" applyBorder="1" applyAlignment="1">
      <alignment horizontal="center" vertical="center"/>
      <protection/>
    </xf>
    <xf numFmtId="0" fontId="11" fillId="0" borderId="37" xfId="140" applyFont="1" applyFill="1" applyBorder="1" applyAlignment="1">
      <alignment horizontal="center" vertical="center"/>
      <protection/>
    </xf>
    <xf numFmtId="0" fontId="11" fillId="0" borderId="16" xfId="140" applyFont="1" applyFill="1" applyBorder="1" applyAlignment="1">
      <alignment horizontal="center" vertical="center"/>
      <protection/>
    </xf>
    <xf numFmtId="0" fontId="11" fillId="0" borderId="26" xfId="140" applyFont="1" applyFill="1" applyBorder="1" applyAlignment="1">
      <alignment horizontal="center" vertical="center" wrapText="1"/>
      <protection/>
    </xf>
    <xf numFmtId="0" fontId="11" fillId="0" borderId="10" xfId="140" applyFont="1" applyFill="1" applyBorder="1" applyAlignment="1">
      <alignment horizontal="center" vertical="center" wrapText="1"/>
      <protection/>
    </xf>
    <xf numFmtId="0" fontId="11" fillId="0" borderId="27" xfId="140" applyFont="1" applyFill="1" applyBorder="1" applyAlignment="1">
      <alignment horizontal="center" vertical="center" wrapText="1"/>
      <protection/>
    </xf>
    <xf numFmtId="0" fontId="11" fillId="0" borderId="15" xfId="140" applyFont="1" applyFill="1" applyBorder="1" applyAlignment="1">
      <alignment horizontal="center" vertical="center" wrapText="1"/>
      <protection/>
    </xf>
    <xf numFmtId="0" fontId="11" fillId="0" borderId="0" xfId="140" applyFont="1" applyFill="1" applyBorder="1" applyAlignment="1">
      <alignment horizontal="center" vertical="center" wrapText="1"/>
      <protection/>
    </xf>
    <xf numFmtId="0" fontId="11" fillId="0" borderId="36" xfId="140" applyFont="1" applyFill="1" applyBorder="1" applyAlignment="1">
      <alignment horizontal="center" vertical="center" wrapText="1"/>
      <protection/>
    </xf>
    <xf numFmtId="0" fontId="11" fillId="20" borderId="17" xfId="139" applyFont="1" applyFill="1" applyBorder="1" applyAlignment="1">
      <alignment horizontal="center" vertical="center" wrapText="1"/>
      <protection/>
    </xf>
    <xf numFmtId="0" fontId="11" fillId="20" borderId="16" xfId="139" applyFont="1" applyFill="1" applyBorder="1" applyAlignment="1">
      <alignment horizontal="center" vertical="center" wrapText="1"/>
      <protection/>
    </xf>
    <xf numFmtId="0" fontId="146" fillId="0" borderId="0" xfId="140" applyNumberFormat="1" applyFont="1" applyFill="1" applyAlignment="1">
      <alignment horizontal="center"/>
      <protection/>
    </xf>
    <xf numFmtId="0" fontId="26" fillId="0" borderId="17" xfId="140" applyFont="1" applyFill="1" applyBorder="1" applyAlignment="1">
      <alignment horizontal="center" vertical="center" wrapText="1"/>
      <protection/>
    </xf>
    <xf numFmtId="0" fontId="26" fillId="0" borderId="16" xfId="140" applyFont="1" applyFill="1" applyBorder="1" applyAlignment="1">
      <alignment horizontal="center" vertical="center" wrapText="1"/>
      <protection/>
    </xf>
    <xf numFmtId="0" fontId="7" fillId="0" borderId="0" xfId="140" applyNumberFormat="1" applyFont="1" applyFill="1" applyAlignment="1">
      <alignment horizontal="left"/>
      <protection/>
    </xf>
    <xf numFmtId="0" fontId="0" fillId="0" borderId="0" xfId="140" applyNumberFormat="1" applyFont="1" applyFill="1" applyBorder="1" applyAlignment="1">
      <alignment horizontal="left" vertical="top" wrapText="1"/>
      <protection/>
    </xf>
    <xf numFmtId="0" fontId="7" fillId="0" borderId="0" xfId="140" applyNumberFormat="1" applyFont="1" applyFill="1" applyBorder="1" applyAlignment="1">
      <alignment horizontal="left" vertical="top" wrapText="1"/>
      <protection/>
    </xf>
    <xf numFmtId="0" fontId="0" fillId="0" borderId="0" xfId="140" applyNumberFormat="1" applyFont="1" applyFill="1" applyBorder="1" applyAlignment="1">
      <alignment horizontal="justify" vertical="top" wrapText="1"/>
      <protection/>
    </xf>
    <xf numFmtId="0" fontId="0" fillId="0" borderId="0" xfId="140" applyNumberFormat="1" applyFont="1" applyFill="1" applyBorder="1" applyAlignment="1">
      <alignment horizontal="justify" vertical="top"/>
      <protection/>
    </xf>
    <xf numFmtId="0" fontId="0" fillId="0" borderId="0" xfId="140" applyNumberFormat="1" applyFont="1" applyFill="1" applyBorder="1" applyAlignment="1">
      <alignment horizontal="left" wrapText="1"/>
      <protection/>
    </xf>
    <xf numFmtId="0" fontId="0" fillId="0" borderId="0" xfId="140" applyNumberFormat="1" applyFont="1" applyFill="1" applyBorder="1" applyAlignment="1">
      <alignment horizontal="left"/>
      <protection/>
    </xf>
    <xf numFmtId="49" fontId="80" fillId="0" borderId="11" xfId="140" applyNumberFormat="1" applyFont="1" applyFill="1" applyBorder="1" applyAlignment="1">
      <alignment horizontal="center" vertical="center" wrapText="1"/>
      <protection/>
    </xf>
    <xf numFmtId="49" fontId="17" fillId="20" borderId="11" xfId="139" applyNumberFormat="1" applyFont="1" applyFill="1" applyBorder="1" applyAlignment="1">
      <alignment horizontal="center" vertical="center" wrapText="1"/>
      <protection/>
    </xf>
    <xf numFmtId="0" fontId="24" fillId="0" borderId="0" xfId="140" applyNumberFormat="1" applyFont="1" applyFill="1" applyBorder="1" applyAlignment="1">
      <alignment horizontal="center"/>
      <protection/>
    </xf>
    <xf numFmtId="49" fontId="11" fillId="0" borderId="11" xfId="140" applyNumberFormat="1" applyFont="1" applyFill="1" applyBorder="1" applyAlignment="1">
      <alignment horizontal="center" vertical="center"/>
      <protection/>
    </xf>
    <xf numFmtId="49" fontId="24" fillId="0" borderId="17" xfId="140" applyNumberFormat="1" applyFont="1" applyFill="1" applyBorder="1" applyAlignment="1">
      <alignment horizontal="center" vertical="center" wrapText="1"/>
      <protection/>
    </xf>
    <xf numFmtId="49" fontId="24" fillId="0" borderId="16" xfId="140" applyNumberFormat="1" applyFont="1" applyFill="1" applyBorder="1" applyAlignment="1">
      <alignment horizontal="center" vertical="center" wrapText="1"/>
      <protection/>
    </xf>
    <xf numFmtId="49" fontId="12" fillId="20" borderId="17" xfId="139" applyNumberFormat="1" applyFont="1" applyFill="1" applyBorder="1" applyAlignment="1">
      <alignment horizontal="center" vertical="center" wrapText="1"/>
      <protection/>
    </xf>
    <xf numFmtId="49" fontId="12" fillId="20" borderId="16" xfId="139" applyNumberFormat="1" applyFont="1" applyFill="1" applyBorder="1" applyAlignment="1">
      <alignment horizontal="center" vertical="center" wrapText="1"/>
      <protection/>
    </xf>
    <xf numFmtId="49" fontId="12" fillId="0" borderId="0" xfId="140" applyNumberFormat="1" applyFont="1" applyFill="1" applyAlignment="1">
      <alignment horizontal="left"/>
      <protection/>
    </xf>
    <xf numFmtId="49" fontId="0" fillId="0" borderId="0" xfId="0" applyNumberFormat="1" applyFont="1" applyBorder="1" applyAlignment="1">
      <alignment horizontal="left"/>
    </xf>
    <xf numFmtId="49" fontId="24" fillId="0" borderId="0" xfId="140" applyNumberFormat="1" applyFont="1" applyFill="1" applyAlignment="1">
      <alignment horizontal="center"/>
      <protection/>
    </xf>
    <xf numFmtId="0" fontId="7" fillId="0" borderId="0" xfId="140" applyNumberFormat="1" applyFont="1" applyFill="1" applyAlignment="1">
      <alignment horizontal="left"/>
      <protection/>
    </xf>
    <xf numFmtId="49" fontId="11" fillId="0" borderId="26" xfId="140" applyNumberFormat="1" applyFont="1" applyFill="1" applyBorder="1" applyAlignment="1">
      <alignment horizontal="center" vertical="center" wrapText="1"/>
      <protection/>
    </xf>
    <xf numFmtId="49" fontId="11" fillId="0" borderId="10" xfId="140" applyNumberFormat="1" applyFont="1" applyFill="1" applyBorder="1" applyAlignment="1">
      <alignment horizontal="center" vertical="center" wrapText="1"/>
      <protection/>
    </xf>
    <xf numFmtId="49" fontId="11" fillId="0" borderId="27" xfId="140" applyNumberFormat="1" applyFont="1" applyFill="1" applyBorder="1" applyAlignment="1">
      <alignment horizontal="center" vertical="center" wrapText="1"/>
      <protection/>
    </xf>
    <xf numFmtId="49" fontId="11" fillId="0" borderId="37" xfId="140" applyNumberFormat="1" applyFont="1" applyFill="1" applyBorder="1" applyAlignment="1">
      <alignment horizontal="center" vertical="center" wrapText="1"/>
      <protection/>
    </xf>
    <xf numFmtId="49" fontId="0" fillId="0" borderId="0" xfId="140" applyNumberFormat="1" applyFont="1" applyFill="1" applyBorder="1" applyAlignment="1">
      <alignment horizontal="left"/>
      <protection/>
    </xf>
    <xf numFmtId="49" fontId="23" fillId="0" borderId="13" xfId="140" applyNumberFormat="1" applyFont="1" applyFill="1" applyBorder="1" applyAlignment="1">
      <alignment horizontal="left"/>
      <protection/>
    </xf>
    <xf numFmtId="49" fontId="28" fillId="0" borderId="10" xfId="140" applyNumberFormat="1" applyFont="1" applyFill="1" applyBorder="1" applyAlignment="1">
      <alignment horizontal="center" wrapText="1"/>
      <protection/>
    </xf>
    <xf numFmtId="0" fontId="28" fillId="0" borderId="33" xfId="140" applyNumberFormat="1" applyFont="1" applyFill="1" applyBorder="1" applyAlignment="1">
      <alignment horizontal="center"/>
      <protection/>
    </xf>
    <xf numFmtId="0" fontId="27" fillId="0" borderId="0" xfId="140" applyNumberFormat="1" applyFont="1" applyFill="1" applyBorder="1" applyAlignment="1">
      <alignment horizontal="center"/>
      <protection/>
    </xf>
    <xf numFmtId="0" fontId="88" fillId="0" borderId="37" xfId="140" applyFont="1" applyFill="1" applyBorder="1" applyAlignment="1">
      <alignment horizontal="center" vertical="center" wrapText="1"/>
      <protection/>
    </xf>
    <xf numFmtId="0" fontId="88" fillId="0" borderId="16" xfId="140" applyFont="1" applyFill="1" applyBorder="1" applyAlignment="1">
      <alignment horizontal="center" vertical="center" wrapText="1"/>
      <protection/>
    </xf>
    <xf numFmtId="49" fontId="7" fillId="0" borderId="0" xfId="140" applyNumberFormat="1" applyFont="1" applyFill="1" applyAlignment="1">
      <alignment horizontal="left"/>
      <protection/>
    </xf>
    <xf numFmtId="49" fontId="18" fillId="0" borderId="13" xfId="140" applyNumberFormat="1" applyFont="1" applyFill="1" applyBorder="1" applyAlignment="1">
      <alignment horizontal="center" vertical="center"/>
      <protection/>
    </xf>
    <xf numFmtId="49" fontId="11" fillId="0" borderId="15" xfId="140" applyNumberFormat="1" applyFont="1" applyFill="1" applyBorder="1" applyAlignment="1">
      <alignment horizontal="center" vertical="center" wrapText="1"/>
      <protection/>
    </xf>
    <xf numFmtId="49" fontId="11" fillId="0" borderId="36" xfId="140" applyNumberFormat="1" applyFont="1" applyFill="1" applyBorder="1" applyAlignment="1">
      <alignment horizontal="center" vertical="center" wrapText="1"/>
      <protection/>
    </xf>
    <xf numFmtId="49" fontId="11" fillId="0" borderId="18" xfId="140" applyNumberFormat="1" applyFont="1" applyFill="1" applyBorder="1" applyAlignment="1">
      <alignment horizontal="center" vertical="center" wrapText="1"/>
      <protection/>
    </xf>
    <xf numFmtId="49" fontId="11" fillId="0" borderId="28" xfId="140" applyNumberFormat="1" applyFont="1" applyFill="1" applyBorder="1" applyAlignment="1">
      <alignment horizontal="center" vertical="center" wrapText="1"/>
      <protection/>
    </xf>
    <xf numFmtId="49" fontId="24" fillId="0" borderId="17" xfId="140" applyNumberFormat="1" applyFont="1" applyFill="1" applyBorder="1" applyAlignment="1">
      <alignment horizontal="center" vertical="center"/>
      <protection/>
    </xf>
    <xf numFmtId="49" fontId="24" fillId="0" borderId="16" xfId="140" applyNumberFormat="1" applyFont="1" applyFill="1" applyBorder="1" applyAlignment="1">
      <alignment horizontal="center" vertical="center"/>
      <protection/>
    </xf>
    <xf numFmtId="49" fontId="11" fillId="20" borderId="17" xfId="139" applyNumberFormat="1" applyFont="1" applyFill="1" applyBorder="1" applyAlignment="1">
      <alignment horizontal="center" vertical="center"/>
      <protection/>
    </xf>
    <xf numFmtId="49" fontId="11" fillId="20" borderId="16" xfId="139" applyNumberFormat="1" applyFont="1" applyFill="1" applyBorder="1" applyAlignment="1">
      <alignment horizontal="center" vertical="center"/>
      <protection/>
    </xf>
    <xf numFmtId="0" fontId="28" fillId="0" borderId="33" xfId="140" applyFont="1" applyFill="1" applyBorder="1" applyAlignment="1">
      <alignment horizontal="center"/>
      <protection/>
    </xf>
    <xf numFmtId="0" fontId="30" fillId="0" borderId="0" xfId="140" applyNumberFormat="1" applyFont="1" applyFill="1" applyBorder="1" applyAlignment="1">
      <alignment horizontal="center"/>
      <protection/>
    </xf>
    <xf numFmtId="0" fontId="19" fillId="0" borderId="0" xfId="140" applyNumberFormat="1" applyFont="1" applyFill="1" applyAlignment="1">
      <alignment horizontal="center"/>
      <protection/>
    </xf>
    <xf numFmtId="0" fontId="11" fillId="20" borderId="17" xfId="139" applyFont="1" applyFill="1" applyBorder="1" applyAlignment="1">
      <alignment horizontal="center" wrapText="1"/>
      <protection/>
    </xf>
    <xf numFmtId="0" fontId="11" fillId="20" borderId="16" xfId="139" applyFont="1" applyFill="1" applyBorder="1" applyAlignment="1">
      <alignment horizontal="center" wrapText="1"/>
      <protection/>
    </xf>
    <xf numFmtId="0" fontId="18" fillId="0" borderId="0" xfId="140" applyFont="1" applyFill="1" applyAlignment="1">
      <alignment horizontal="center"/>
      <protection/>
    </xf>
    <xf numFmtId="0" fontId="30" fillId="0" borderId="0" xfId="140" applyNumberFormat="1" applyFont="1" applyFill="1" applyAlignment="1">
      <alignment horizontal="center"/>
      <protection/>
    </xf>
    <xf numFmtId="0" fontId="12" fillId="0" borderId="11" xfId="140" applyFont="1" applyFill="1" applyBorder="1" applyAlignment="1">
      <alignment horizontal="center" vertical="center" wrapText="1"/>
      <protection/>
    </xf>
    <xf numFmtId="49" fontId="12" fillId="0" borderId="26" xfId="140" applyNumberFormat="1" applyFont="1" applyFill="1" applyBorder="1" applyAlignment="1">
      <alignment horizontal="center" vertical="center"/>
      <protection/>
    </xf>
    <xf numFmtId="49" fontId="12" fillId="0" borderId="27" xfId="140" applyNumberFormat="1" applyFont="1" applyFill="1" applyBorder="1" applyAlignment="1">
      <alignment horizontal="center" vertical="center"/>
      <protection/>
    </xf>
    <xf numFmtId="49" fontId="12" fillId="0" borderId="15" xfId="140" applyNumberFormat="1" applyFont="1" applyFill="1" applyBorder="1" applyAlignment="1">
      <alignment horizontal="center" vertical="center"/>
      <protection/>
    </xf>
    <xf numFmtId="49" fontId="12" fillId="0" borderId="36" xfId="140" applyNumberFormat="1" applyFont="1" applyFill="1" applyBorder="1" applyAlignment="1">
      <alignment horizontal="center" vertical="center"/>
      <protection/>
    </xf>
    <xf numFmtId="49" fontId="12" fillId="0" borderId="18" xfId="140" applyNumberFormat="1" applyFont="1" applyFill="1" applyBorder="1" applyAlignment="1">
      <alignment horizontal="center" vertical="center"/>
      <protection/>
    </xf>
    <xf numFmtId="49" fontId="12" fillId="0" borderId="28" xfId="140" applyNumberFormat="1" applyFont="1" applyFill="1" applyBorder="1" applyAlignment="1">
      <alignment horizontal="center" vertical="center"/>
      <protection/>
    </xf>
    <xf numFmtId="0" fontId="30" fillId="0" borderId="0" xfId="137" applyNumberFormat="1" applyFont="1" applyFill="1" applyAlignment="1">
      <alignment horizontal="center"/>
      <protection/>
    </xf>
    <xf numFmtId="0" fontId="30" fillId="0" borderId="0" xfId="140" applyNumberFormat="1" applyFont="1" applyFill="1" applyBorder="1" applyAlignment="1">
      <alignment horizontal="center" wrapText="1"/>
      <protection/>
    </xf>
    <xf numFmtId="0" fontId="37" fillId="0" borderId="0" xfId="140" applyNumberFormat="1" applyFont="1" applyFill="1" applyBorder="1" applyAlignment="1">
      <alignment horizontal="justify" vertical="justify" wrapText="1"/>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140" applyNumberFormat="1" applyFont="1" applyFill="1" applyAlignment="1">
      <alignment horizontal="left"/>
      <protection/>
    </xf>
    <xf numFmtId="0" fontId="39" fillId="0" borderId="0" xfId="140" applyNumberFormat="1" applyFont="1" applyFill="1" applyAlignment="1">
      <alignment horizontal="center"/>
      <protection/>
    </xf>
    <xf numFmtId="0" fontId="26" fillId="0" borderId="0" xfId="140" applyNumberFormat="1" applyFont="1" applyFill="1" applyAlignment="1">
      <alignment horizontal="center"/>
      <protection/>
    </xf>
    <xf numFmtId="0" fontId="0" fillId="0" borderId="0" xfId="140" applyNumberFormat="1" applyFont="1" applyFill="1" applyAlignment="1">
      <alignment horizontal="left"/>
      <protection/>
    </xf>
    <xf numFmtId="0" fontId="19" fillId="0" borderId="0" xfId="140" applyNumberFormat="1" applyFont="1" applyFill="1" applyAlignment="1">
      <alignment horizontal="center" vertical="center"/>
      <protection/>
    </xf>
    <xf numFmtId="0" fontId="23" fillId="0" borderId="0" xfId="140" applyNumberFormat="1" applyFont="1" applyFill="1" applyAlignment="1">
      <alignment horizontal="center" wrapText="1"/>
      <protection/>
    </xf>
    <xf numFmtId="0" fontId="8" fillId="0" borderId="0" xfId="140" applyNumberFormat="1" applyFont="1" applyFill="1" applyAlignment="1">
      <alignment horizontal="left"/>
      <protection/>
    </xf>
    <xf numFmtId="0" fontId="18" fillId="0" borderId="0" xfId="140" applyNumberFormat="1" applyFont="1" applyFill="1" applyBorder="1" applyAlignment="1">
      <alignment horizontal="left" wrapText="1"/>
      <protection/>
    </xf>
    <xf numFmtId="49" fontId="12" fillId="0" borderId="44" xfId="140" applyNumberFormat="1" applyFont="1" applyFill="1" applyBorder="1" applyAlignment="1">
      <alignment horizontal="center" vertical="center"/>
      <protection/>
    </xf>
    <xf numFmtId="49" fontId="12" fillId="0" borderId="41" xfId="140" applyNumberFormat="1" applyFont="1" applyFill="1" applyBorder="1" applyAlignment="1">
      <alignment horizontal="center" vertical="center"/>
      <protection/>
    </xf>
    <xf numFmtId="49" fontId="12" fillId="0" borderId="40" xfId="140" applyNumberFormat="1" applyFont="1" applyFill="1" applyBorder="1" applyAlignment="1">
      <alignment horizontal="center" vertical="center"/>
      <protection/>
    </xf>
    <xf numFmtId="49" fontId="12" fillId="0" borderId="11" xfId="140" applyNumberFormat="1" applyFont="1" applyFill="1" applyBorder="1" applyAlignment="1">
      <alignment horizontal="center" vertical="center"/>
      <protection/>
    </xf>
    <xf numFmtId="0" fontId="12" fillId="0" borderId="41" xfId="140" applyNumberFormat="1" applyFont="1" applyFill="1" applyBorder="1" applyAlignment="1">
      <alignment horizontal="center" vertical="center" wrapText="1"/>
      <protection/>
    </xf>
    <xf numFmtId="0" fontId="12" fillId="0" borderId="43" xfId="140" applyNumberFormat="1" applyFont="1" applyFill="1" applyBorder="1" applyAlignment="1">
      <alignment horizontal="center" vertical="center" wrapText="1"/>
      <protection/>
    </xf>
    <xf numFmtId="0" fontId="12" fillId="0" borderId="29" xfId="140" applyNumberFormat="1" applyFont="1" applyFill="1" applyBorder="1" applyAlignment="1">
      <alignment horizontal="center" vertical="center" wrapText="1"/>
      <protection/>
    </xf>
    <xf numFmtId="0" fontId="12" fillId="0" borderId="11" xfId="140" applyNumberFormat="1" applyFont="1" applyFill="1" applyBorder="1" applyAlignment="1">
      <alignment horizontal="center" vertical="center" wrapText="1"/>
      <protection/>
    </xf>
    <xf numFmtId="0" fontId="33" fillId="0" borderId="11" xfId="140" applyFont="1" applyFill="1" applyBorder="1" applyAlignment="1">
      <alignment horizontal="center" vertical="center"/>
      <protection/>
    </xf>
    <xf numFmtId="0" fontId="21" fillId="0" borderId="40" xfId="140" applyNumberFormat="1" applyFont="1" applyFill="1" applyBorder="1" applyAlignment="1">
      <alignment horizontal="center" wrapText="1"/>
      <protection/>
    </xf>
    <xf numFmtId="0" fontId="21" fillId="0" borderId="11" xfId="140" applyNumberFormat="1" applyFont="1" applyFill="1" applyBorder="1" applyAlignment="1">
      <alignment horizontal="center" wrapText="1"/>
      <protection/>
    </xf>
    <xf numFmtId="0" fontId="12" fillId="20" borderId="17" xfId="139" applyNumberFormat="1" applyFont="1" applyFill="1" applyBorder="1" applyAlignment="1">
      <alignment horizontal="center" wrapText="1"/>
      <protection/>
    </xf>
    <xf numFmtId="0" fontId="12" fillId="20" borderId="16" xfId="139" applyNumberFormat="1" applyFont="1" applyFill="1" applyBorder="1" applyAlignment="1">
      <alignment horizontal="center" wrapText="1"/>
      <protection/>
    </xf>
    <xf numFmtId="0" fontId="20" fillId="0" borderId="0" xfId="140" applyNumberFormat="1" applyFont="1" applyFill="1" applyBorder="1" applyAlignment="1">
      <alignment horizontal="center"/>
      <protection/>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19 bieu m nhapcong thuc da sao 11 don vi  2" xfId="137"/>
    <cellStyle name="Normal_Bieu 8 - Bieu 19 toan tinh" xfId="138"/>
    <cellStyle name="Normal_Bieu mau TK tu 11 den 19 (ban phat hanh)" xfId="139"/>
    <cellStyle name="Normal_Bieu mau TK tu 11 den 19 (ban phat hanh) 2"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66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866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2286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71675" y="2286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866900" y="26670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866900"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866900" y="26670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05000" y="2476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050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05000" y="2476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90725" y="2095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2" name="Text Box 1"/>
        <xdr:cNvSpPr txBox="1">
          <a:spLocks noChangeArrowheads="1"/>
        </xdr:cNvSpPr>
      </xdr:nvSpPr>
      <xdr:spPr>
        <a:xfrm>
          <a:off x="199072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xdr:nvSpPr>
        <xdr:cNvPr id="3" name="Text Box 1"/>
        <xdr:cNvSpPr txBox="1">
          <a:spLocks noChangeArrowheads="1"/>
        </xdr:cNvSpPr>
      </xdr:nvSpPr>
      <xdr:spPr>
        <a:xfrm>
          <a:off x="1990725" y="2095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xdr:nvSpPr>
        <xdr:cNvPr id="1" name="Text Box 1"/>
        <xdr:cNvSpPr txBox="1">
          <a:spLocks noChangeArrowheads="1"/>
        </xdr:cNvSpPr>
      </xdr:nvSpPr>
      <xdr:spPr>
        <a:xfrm>
          <a:off x="409575" y="7772400"/>
          <a:ext cx="85725" cy="3143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6"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7"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8"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9"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0"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1"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2"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3"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4"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5"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6"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7"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8"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19"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0"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1"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2"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3"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4"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5"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6"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7"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8" name="Text Box 7"/>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xdr:nvSpPr>
        <xdr:cNvPr id="29" name="Text Box 11"/>
        <xdr:cNvSpPr txBox="1">
          <a:spLocks noChangeArrowheads="1"/>
        </xdr:cNvSpPr>
      </xdr:nvSpPr>
      <xdr:spPr>
        <a:xfrm>
          <a:off x="1466850" y="7248525"/>
          <a:ext cx="95250"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xdr:nvSpPr>
        <xdr:cNvPr id="1" name="Text Box 1"/>
        <xdr:cNvSpPr txBox="1">
          <a:spLocks noChangeArrowheads="1"/>
        </xdr:cNvSpPr>
      </xdr:nvSpPr>
      <xdr:spPr>
        <a:xfrm>
          <a:off x="352425" y="6981825"/>
          <a:ext cx="857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xdr:nvSpPr>
        <xdr:cNvPr id="1"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4"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5"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6"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7"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8"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9"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0"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1"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12"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3"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4"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15"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6"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17"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18"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19"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0"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21"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2"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3"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24"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5"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6"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27"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28"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29"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30"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1"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2"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33"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4"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5"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xdr:nvSpPr>
        <xdr:cNvPr id="36" name="Text Box 7"/>
        <xdr:cNvSpPr txBox="1">
          <a:spLocks noChangeArrowheads="1"/>
        </xdr:cNvSpPr>
      </xdr:nvSpPr>
      <xdr:spPr>
        <a:xfrm>
          <a:off x="314325" y="6867525"/>
          <a:ext cx="85725" cy="3524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xdr:nvSpPr>
        <xdr:cNvPr id="37" name="Text Box 1"/>
        <xdr:cNvSpPr txBox="1">
          <a:spLocks noChangeArrowheads="1"/>
        </xdr:cNvSpPr>
      </xdr:nvSpPr>
      <xdr:spPr>
        <a:xfrm>
          <a:off x="314325" y="6867525"/>
          <a:ext cx="85725" cy="1047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xdr:nvSpPr>
        <xdr:cNvPr id="38" name="Text Box 1"/>
        <xdr:cNvSpPr txBox="1">
          <a:spLocks noChangeArrowheads="1"/>
        </xdr:cNvSpPr>
      </xdr:nvSpPr>
      <xdr:spPr>
        <a:xfrm>
          <a:off x="314325" y="6867525"/>
          <a:ext cx="857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xdr:nvSpPr>
        <xdr:cNvPr id="39" name="Text Box 7"/>
        <xdr:cNvSpPr txBox="1">
          <a:spLocks noChangeArrowheads="1"/>
        </xdr:cNvSpPr>
      </xdr:nvSpPr>
      <xdr:spPr>
        <a:xfrm>
          <a:off x="314325" y="7058025"/>
          <a:ext cx="85725" cy="3619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xdr:nvSpPr>
        <xdr:cNvPr id="40" name="Text Box 1"/>
        <xdr:cNvSpPr txBox="1">
          <a:spLocks noChangeArrowheads="1"/>
        </xdr:cNvSpPr>
      </xdr:nvSpPr>
      <xdr:spPr>
        <a:xfrm>
          <a:off x="314325" y="7058025"/>
          <a:ext cx="85725" cy="1143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xdr:nvSpPr>
        <xdr:cNvPr id="41" name="Text Box 1"/>
        <xdr:cNvSpPr txBox="1">
          <a:spLocks noChangeArrowheads="1"/>
        </xdr:cNvSpPr>
      </xdr:nvSpPr>
      <xdr:spPr>
        <a:xfrm>
          <a:off x="314325" y="7058025"/>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2"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3"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4"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5"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6"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7"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8"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9"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0"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1"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2"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43</xdr:row>
      <xdr:rowOff>0</xdr:rowOff>
    </xdr:from>
    <xdr:ext cx="85725" cy="228600"/>
    <xdr:sp>
      <xdr:nvSpPr>
        <xdr:cNvPr id="13" name="Text Box 1"/>
        <xdr:cNvSpPr txBox="1">
          <a:spLocks noChangeArrowheads="1"/>
        </xdr:cNvSpPr>
      </xdr:nvSpPr>
      <xdr:spPr>
        <a:xfrm>
          <a:off x="352425" y="7991475"/>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247650" y="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276225"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7621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Bieu%208%20-%20Bieu%2019%20toan%20ti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29">
        <row r="14">
          <cell r="C14">
            <v>122</v>
          </cell>
        </row>
        <row r="15">
          <cell r="C15">
            <v>25</v>
          </cell>
        </row>
        <row r="16">
          <cell r="C16">
            <v>97</v>
          </cell>
        </row>
        <row r="17">
          <cell r="C17">
            <v>8</v>
          </cell>
        </row>
        <row r="18">
          <cell r="C18">
            <v>7</v>
          </cell>
        </row>
        <row r="19">
          <cell r="C19">
            <v>14</v>
          </cell>
        </row>
        <row r="20">
          <cell r="C20">
            <v>7</v>
          </cell>
        </row>
        <row r="21">
          <cell r="C21">
            <v>8</v>
          </cell>
        </row>
        <row r="22">
          <cell r="C22">
            <v>10</v>
          </cell>
        </row>
        <row r="23">
          <cell r="C23">
            <v>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1.vml" /><Relationship Id="rId3"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238" t="s">
        <v>28</v>
      </c>
      <c r="B1" s="1238"/>
      <c r="C1" s="1264" t="s">
        <v>91</v>
      </c>
      <c r="D1" s="1264"/>
      <c r="E1" s="1264"/>
      <c r="F1" s="1239" t="s">
        <v>87</v>
      </c>
      <c r="G1" s="1239"/>
      <c r="H1" s="1239"/>
    </row>
    <row r="2" spans="1:8" ht="33.75" customHeight="1">
      <c r="A2" s="1240" t="s">
        <v>95</v>
      </c>
      <c r="B2" s="1240"/>
      <c r="C2" s="1264"/>
      <c r="D2" s="1264"/>
      <c r="E2" s="1264"/>
      <c r="F2" s="1263" t="s">
        <v>88</v>
      </c>
      <c r="G2" s="1263"/>
      <c r="H2" s="1263"/>
    </row>
    <row r="3" spans="1:8" ht="19.5" customHeight="1">
      <c r="A3" s="9" t="s">
        <v>81</v>
      </c>
      <c r="B3" s="9"/>
      <c r="C3" s="27"/>
      <c r="D3" s="27"/>
      <c r="E3" s="27"/>
      <c r="F3" s="1263" t="s">
        <v>89</v>
      </c>
      <c r="G3" s="1263"/>
      <c r="H3" s="1263"/>
    </row>
    <row r="4" spans="1:8" s="10" customFormat="1" ht="19.5" customHeight="1">
      <c r="A4" s="9"/>
      <c r="B4" s="9"/>
      <c r="D4" s="11"/>
      <c r="F4" s="12" t="s">
        <v>90</v>
      </c>
      <c r="G4" s="12"/>
      <c r="H4" s="12"/>
    </row>
    <row r="5" spans="1:8" s="26" customFormat="1" ht="36" customHeight="1">
      <c r="A5" s="1245" t="s">
        <v>72</v>
      </c>
      <c r="B5" s="1246"/>
      <c r="C5" s="1249" t="s">
        <v>85</v>
      </c>
      <c r="D5" s="1250"/>
      <c r="E5" s="1251" t="s">
        <v>84</v>
      </c>
      <c r="F5" s="1251"/>
      <c r="G5" s="1251"/>
      <c r="H5" s="1252"/>
    </row>
    <row r="6" spans="1:8" s="26" customFormat="1" ht="20.25" customHeight="1">
      <c r="A6" s="1247"/>
      <c r="B6" s="1248"/>
      <c r="C6" s="1253" t="s">
        <v>3</v>
      </c>
      <c r="D6" s="1253" t="s">
        <v>92</v>
      </c>
      <c r="E6" s="1255" t="s">
        <v>86</v>
      </c>
      <c r="F6" s="1252"/>
      <c r="G6" s="1255" t="s">
        <v>93</v>
      </c>
      <c r="H6" s="1252"/>
    </row>
    <row r="7" spans="1:8" s="26" customFormat="1" ht="52.5" customHeight="1">
      <c r="A7" s="1247"/>
      <c r="B7" s="1248"/>
      <c r="C7" s="1254"/>
      <c r="D7" s="1254"/>
      <c r="E7" s="8" t="s">
        <v>3</v>
      </c>
      <c r="F7" s="8" t="s">
        <v>10</v>
      </c>
      <c r="G7" s="8" t="s">
        <v>3</v>
      </c>
      <c r="H7" s="8" t="s">
        <v>10</v>
      </c>
    </row>
    <row r="8" spans="1:8" ht="15" customHeight="1">
      <c r="A8" s="1257" t="s">
        <v>6</v>
      </c>
      <c r="B8" s="1258"/>
      <c r="C8" s="13">
        <v>1</v>
      </c>
      <c r="D8" s="13" t="s">
        <v>53</v>
      </c>
      <c r="E8" s="13" t="s">
        <v>58</v>
      </c>
      <c r="F8" s="13" t="s">
        <v>73</v>
      </c>
      <c r="G8" s="13" t="s">
        <v>74</v>
      </c>
      <c r="H8" s="13" t="s">
        <v>75</v>
      </c>
    </row>
    <row r="9" spans="1:8" ht="26.25" customHeight="1">
      <c r="A9" s="1259" t="s">
        <v>41</v>
      </c>
      <c r="B9" s="1260"/>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261" t="s">
        <v>68</v>
      </c>
      <c r="C16" s="1261"/>
      <c r="D16" s="29"/>
      <c r="E16" s="1242" t="s">
        <v>21</v>
      </c>
      <c r="F16" s="1242"/>
      <c r="G16" s="1242"/>
      <c r="H16" s="1242"/>
    </row>
    <row r="17" spans="2:8" ht="15.75" customHeight="1">
      <c r="B17" s="1261"/>
      <c r="C17" s="1261"/>
      <c r="D17" s="29"/>
      <c r="E17" s="1243" t="s">
        <v>46</v>
      </c>
      <c r="F17" s="1243"/>
      <c r="G17" s="1243"/>
      <c r="H17" s="1243"/>
    </row>
    <row r="18" spans="2:8" s="30" customFormat="1" ht="15.75" customHeight="1">
      <c r="B18" s="1261"/>
      <c r="C18" s="1261"/>
      <c r="D18" s="31"/>
      <c r="E18" s="1244" t="s">
        <v>67</v>
      </c>
      <c r="F18" s="1244"/>
      <c r="G18" s="1244"/>
      <c r="H18" s="1244"/>
    </row>
    <row r="20" ht="15.75">
      <c r="B20" s="22"/>
    </row>
    <row r="22" ht="15.75" hidden="1">
      <c r="A22" s="23" t="s">
        <v>49</v>
      </c>
    </row>
    <row r="23" spans="1:3" ht="15.75" hidden="1">
      <c r="A23" s="24"/>
      <c r="B23" s="1262" t="s">
        <v>59</v>
      </c>
      <c r="C23" s="1262"/>
    </row>
    <row r="24" spans="1:8" ht="15.75" customHeight="1" hidden="1">
      <c r="A24" s="25" t="s">
        <v>27</v>
      </c>
      <c r="B24" s="1256" t="s">
        <v>63</v>
      </c>
      <c r="C24" s="1256"/>
      <c r="D24" s="25"/>
      <c r="E24" s="25"/>
      <c r="F24" s="25"/>
      <c r="G24" s="25"/>
      <c r="H24" s="25"/>
    </row>
    <row r="25" spans="1:8" ht="15" customHeight="1" hidden="1">
      <c r="A25" s="25"/>
      <c r="B25" s="1256" t="s">
        <v>66</v>
      </c>
      <c r="C25" s="1256"/>
      <c r="D25" s="1256"/>
      <c r="E25" s="25"/>
      <c r="F25" s="25"/>
      <c r="G25" s="25"/>
      <c r="H25" s="25"/>
    </row>
    <row r="26" spans="2:3" ht="15.75">
      <c r="B26" s="26"/>
      <c r="C26" s="26"/>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358" t="s">
        <v>324</v>
      </c>
      <c r="B1" s="1358"/>
      <c r="C1" s="1358"/>
      <c r="D1" s="1361" t="s">
        <v>449</v>
      </c>
      <c r="E1" s="1361"/>
      <c r="F1" s="1361"/>
      <c r="G1" s="1361"/>
      <c r="H1" s="1361"/>
      <c r="I1" s="1361"/>
      <c r="J1" s="200" t="s">
        <v>450</v>
      </c>
      <c r="K1" s="331"/>
      <c r="L1" s="331"/>
    </row>
    <row r="2" spans="1:12" ht="18.75" customHeight="1">
      <c r="A2" s="1359" t="s">
        <v>408</v>
      </c>
      <c r="B2" s="1359"/>
      <c r="C2" s="1359"/>
      <c r="D2" s="1444" t="s">
        <v>325</v>
      </c>
      <c r="E2" s="1444"/>
      <c r="F2" s="1444"/>
      <c r="G2" s="1444"/>
      <c r="H2" s="1444"/>
      <c r="I2" s="1444"/>
      <c r="J2" s="1358" t="s">
        <v>451</v>
      </c>
      <c r="K2" s="1358"/>
      <c r="L2" s="1358"/>
    </row>
    <row r="3" spans="1:12" ht="17.25">
      <c r="A3" s="1359" t="s">
        <v>360</v>
      </c>
      <c r="B3" s="1359"/>
      <c r="C3" s="1359"/>
      <c r="D3" s="1445" t="s">
        <v>452</v>
      </c>
      <c r="E3" s="1446"/>
      <c r="F3" s="1446"/>
      <c r="G3" s="1446"/>
      <c r="H3" s="1446"/>
      <c r="I3" s="1446"/>
      <c r="J3" s="203" t="s">
        <v>468</v>
      </c>
      <c r="K3" s="203"/>
      <c r="L3" s="203"/>
    </row>
    <row r="4" spans="1:12" ht="15.75">
      <c r="A4" s="1448" t="s">
        <v>453</v>
      </c>
      <c r="B4" s="1448"/>
      <c r="C4" s="1448"/>
      <c r="D4" s="1449"/>
      <c r="E4" s="1449"/>
      <c r="F4" s="1449"/>
      <c r="G4" s="1449"/>
      <c r="H4" s="1449"/>
      <c r="I4" s="1449"/>
      <c r="J4" s="1356" t="s">
        <v>410</v>
      </c>
      <c r="K4" s="1356"/>
      <c r="L4" s="1356"/>
    </row>
    <row r="5" spans="1:13" ht="15.75">
      <c r="A5" s="333"/>
      <c r="B5" s="333"/>
      <c r="C5" s="334"/>
      <c r="D5" s="334"/>
      <c r="E5" s="202"/>
      <c r="J5" s="335" t="s">
        <v>454</v>
      </c>
      <c r="K5" s="250"/>
      <c r="L5" s="250"/>
      <c r="M5" s="250"/>
    </row>
    <row r="6" spans="1:13" s="338" customFormat="1" ht="24.75" customHeight="1">
      <c r="A6" s="1452" t="s">
        <v>72</v>
      </c>
      <c r="B6" s="1453"/>
      <c r="C6" s="1447" t="s">
        <v>455</v>
      </c>
      <c r="D6" s="1447"/>
      <c r="E6" s="1447"/>
      <c r="F6" s="1447"/>
      <c r="G6" s="1447"/>
      <c r="H6" s="1447"/>
      <c r="I6" s="1447" t="s">
        <v>326</v>
      </c>
      <c r="J6" s="1447"/>
      <c r="K6" s="1447"/>
      <c r="L6" s="1447"/>
      <c r="M6" s="337"/>
    </row>
    <row r="7" spans="1:13" s="338" customFormat="1" ht="17.25" customHeight="1">
      <c r="A7" s="1454"/>
      <c r="B7" s="1455"/>
      <c r="C7" s="1447" t="s">
        <v>38</v>
      </c>
      <c r="D7" s="1447"/>
      <c r="E7" s="1447" t="s">
        <v>7</v>
      </c>
      <c r="F7" s="1447"/>
      <c r="G7" s="1447"/>
      <c r="H7" s="1447"/>
      <c r="I7" s="1447" t="s">
        <v>327</v>
      </c>
      <c r="J7" s="1447"/>
      <c r="K7" s="1447" t="s">
        <v>328</v>
      </c>
      <c r="L7" s="1447"/>
      <c r="M7" s="337"/>
    </row>
    <row r="8" spans="1:12" s="338" customFormat="1" ht="27.75" customHeight="1">
      <c r="A8" s="1454"/>
      <c r="B8" s="1455"/>
      <c r="C8" s="1447"/>
      <c r="D8" s="1447"/>
      <c r="E8" s="1447" t="s">
        <v>329</v>
      </c>
      <c r="F8" s="1447"/>
      <c r="G8" s="1447" t="s">
        <v>330</v>
      </c>
      <c r="H8" s="1447"/>
      <c r="I8" s="1447"/>
      <c r="J8" s="1447"/>
      <c r="K8" s="1447"/>
      <c r="L8" s="1447"/>
    </row>
    <row r="9" spans="1:12" s="338" customFormat="1" ht="24.75" customHeight="1">
      <c r="A9" s="1456"/>
      <c r="B9" s="1457"/>
      <c r="C9" s="336" t="s">
        <v>331</v>
      </c>
      <c r="D9" s="336" t="s">
        <v>10</v>
      </c>
      <c r="E9" s="336" t="s">
        <v>3</v>
      </c>
      <c r="F9" s="336" t="s">
        <v>332</v>
      </c>
      <c r="G9" s="336" t="s">
        <v>3</v>
      </c>
      <c r="H9" s="336" t="s">
        <v>332</v>
      </c>
      <c r="I9" s="336" t="s">
        <v>3</v>
      </c>
      <c r="J9" s="336" t="s">
        <v>332</v>
      </c>
      <c r="K9" s="336" t="s">
        <v>3</v>
      </c>
      <c r="L9" s="336" t="s">
        <v>332</v>
      </c>
    </row>
    <row r="10" spans="1:12" s="340" customFormat="1" ht="15.75">
      <c r="A10" s="1380" t="s">
        <v>6</v>
      </c>
      <c r="B10" s="1381"/>
      <c r="C10" s="339">
        <v>1</v>
      </c>
      <c r="D10" s="339">
        <v>2</v>
      </c>
      <c r="E10" s="339">
        <v>3</v>
      </c>
      <c r="F10" s="339">
        <v>4</v>
      </c>
      <c r="G10" s="339">
        <v>5</v>
      </c>
      <c r="H10" s="339">
        <v>6</v>
      </c>
      <c r="I10" s="339">
        <v>7</v>
      </c>
      <c r="J10" s="339">
        <v>8</v>
      </c>
      <c r="K10" s="339">
        <v>9</v>
      </c>
      <c r="L10" s="339">
        <v>10</v>
      </c>
    </row>
    <row r="11" spans="1:12" s="340" customFormat="1" ht="30.75" customHeight="1">
      <c r="A11" s="1370" t="s">
        <v>405</v>
      </c>
      <c r="B11" s="1371"/>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373" t="s">
        <v>406</v>
      </c>
      <c r="B12" s="1374"/>
      <c r="C12" s="258">
        <v>0</v>
      </c>
      <c r="D12" s="258">
        <v>0</v>
      </c>
      <c r="E12" s="258">
        <v>0</v>
      </c>
      <c r="F12" s="258">
        <v>0</v>
      </c>
      <c r="G12" s="258">
        <v>0</v>
      </c>
      <c r="H12" s="258">
        <v>0</v>
      </c>
      <c r="I12" s="258">
        <v>0</v>
      </c>
      <c r="J12" s="258">
        <v>0</v>
      </c>
      <c r="K12" s="258">
        <v>0</v>
      </c>
      <c r="L12" s="258">
        <v>0</v>
      </c>
    </row>
    <row r="13" spans="1:32" s="340" customFormat="1" ht="17.25" customHeight="1">
      <c r="A13" s="1376" t="s">
        <v>37</v>
      </c>
      <c r="B13" s="1344"/>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375</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407</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378</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379</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380</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381</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386</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388</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389</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390</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392</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368" t="s">
        <v>393</v>
      </c>
      <c r="C28" s="1368"/>
      <c r="D28" s="1368"/>
      <c r="E28" s="213"/>
      <c r="F28" s="267"/>
      <c r="G28" s="267"/>
      <c r="H28" s="1367" t="s">
        <v>393</v>
      </c>
      <c r="I28" s="1367"/>
      <c r="J28" s="1367"/>
      <c r="K28" s="1367"/>
      <c r="L28" s="1367"/>
      <c r="AG28" s="201" t="s">
        <v>394</v>
      </c>
      <c r="AI28" s="199">
        <f>82/88</f>
        <v>0.9318181818181818</v>
      </c>
    </row>
    <row r="29" spans="1:12" s="201" customFormat="1" ht="19.5" customHeight="1">
      <c r="A29" s="211"/>
      <c r="B29" s="1369" t="s">
        <v>333</v>
      </c>
      <c r="C29" s="1369"/>
      <c r="D29" s="1369"/>
      <c r="E29" s="213"/>
      <c r="F29" s="214"/>
      <c r="G29" s="214"/>
      <c r="H29" s="1372" t="s">
        <v>251</v>
      </c>
      <c r="I29" s="1372"/>
      <c r="J29" s="1372"/>
      <c r="K29" s="1372"/>
      <c r="L29" s="1372"/>
    </row>
    <row r="30" spans="1:12" s="205" customFormat="1" ht="15" customHeight="1">
      <c r="A30" s="211"/>
      <c r="B30" s="1451"/>
      <c r="C30" s="1451"/>
      <c r="D30" s="1451"/>
      <c r="E30" s="213"/>
      <c r="F30" s="214"/>
      <c r="G30" s="214"/>
      <c r="H30" s="1324"/>
      <c r="I30" s="1324"/>
      <c r="J30" s="1324"/>
      <c r="K30" s="1324"/>
      <c r="L30" s="1324"/>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458" t="s">
        <v>397</v>
      </c>
      <c r="C33" s="1458"/>
      <c r="D33" s="1458"/>
      <c r="E33" s="345"/>
      <c r="F33" s="345"/>
      <c r="G33" s="345"/>
      <c r="H33" s="345"/>
      <c r="I33" s="345"/>
      <c r="J33" s="346" t="s">
        <v>397</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450" t="s">
        <v>334</v>
      </c>
      <c r="C37" s="1450"/>
      <c r="D37" s="1450"/>
      <c r="E37" s="1450"/>
      <c r="F37" s="1450"/>
      <c r="G37" s="1450"/>
      <c r="H37" s="1450"/>
      <c r="I37" s="1450"/>
      <c r="J37" s="1450"/>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200" t="s">
        <v>439</v>
      </c>
      <c r="C41" s="1200"/>
      <c r="D41" s="1200"/>
      <c r="E41" s="219"/>
      <c r="F41" s="219"/>
      <c r="G41" s="191"/>
      <c r="H41" s="1201" t="s">
        <v>351</v>
      </c>
      <c r="I41" s="1201"/>
      <c r="J41" s="1201"/>
      <c r="K41" s="1201"/>
      <c r="L41" s="1201"/>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459" t="s">
        <v>481</v>
      </c>
      <c r="M1" s="1460"/>
      <c r="N1" s="1460"/>
      <c r="O1" s="374"/>
      <c r="P1" s="374"/>
      <c r="Q1" s="374"/>
      <c r="R1" s="374"/>
      <c r="S1" s="374"/>
      <c r="T1" s="374"/>
      <c r="U1" s="374"/>
      <c r="V1" s="374"/>
      <c r="W1" s="374"/>
      <c r="X1" s="374"/>
      <c r="Y1" s="375"/>
    </row>
    <row r="2" spans="11:17" ht="34.5" customHeight="1">
      <c r="K2" s="358"/>
      <c r="L2" s="1461" t="s">
        <v>488</v>
      </c>
      <c r="M2" s="1462"/>
      <c r="N2" s="1463"/>
      <c r="O2" s="38"/>
      <c r="P2" s="360"/>
      <c r="Q2" s="356"/>
    </row>
    <row r="3" spans="11:18" ht="31.5" customHeight="1">
      <c r="K3" s="358"/>
      <c r="L3" s="363" t="s">
        <v>497</v>
      </c>
      <c r="M3" s="364">
        <f>'06'!C11</f>
        <v>15733</v>
      </c>
      <c r="N3" s="364"/>
      <c r="O3" s="364"/>
      <c r="P3" s="361"/>
      <c r="Q3" s="357"/>
      <c r="R3" s="354"/>
    </row>
    <row r="4" spans="11:18" ht="30" customHeight="1">
      <c r="K4" s="358"/>
      <c r="L4" s="365" t="s">
        <v>482</v>
      </c>
      <c r="M4" s="366">
        <f>'06'!D11</f>
        <v>5853</v>
      </c>
      <c r="N4" s="364"/>
      <c r="O4" s="364"/>
      <c r="P4" s="361"/>
      <c r="Q4" s="357"/>
      <c r="R4" s="354"/>
    </row>
    <row r="5" spans="11:18" ht="31.5" customHeight="1">
      <c r="K5" s="358"/>
      <c r="L5" s="365" t="s">
        <v>483</v>
      </c>
      <c r="M5" s="366">
        <f>'06'!E11</f>
        <v>9880</v>
      </c>
      <c r="N5" s="364"/>
      <c r="O5" s="364"/>
      <c r="P5" s="361"/>
      <c r="Q5" s="357"/>
      <c r="R5" s="354"/>
    </row>
    <row r="6" spans="11:18" ht="27" customHeight="1">
      <c r="K6" s="358"/>
      <c r="L6" s="363" t="s">
        <v>484</v>
      </c>
      <c r="M6" s="364">
        <f>'06'!F11</f>
        <v>203</v>
      </c>
      <c r="N6" s="364"/>
      <c r="O6" s="364"/>
      <c r="P6" s="361"/>
      <c r="Q6" s="357"/>
      <c r="R6" s="354"/>
    </row>
    <row r="7" spans="11:18" s="351" customFormat="1" ht="30" customHeight="1">
      <c r="K7" s="359"/>
      <c r="L7" s="367" t="s">
        <v>523</v>
      </c>
      <c r="M7" s="364">
        <f>'06'!H11</f>
        <v>15530</v>
      </c>
      <c r="N7" s="364"/>
      <c r="O7" s="364"/>
      <c r="P7" s="361"/>
      <c r="Q7" s="357"/>
      <c r="R7" s="354"/>
    </row>
    <row r="8" spans="11:18" ht="30.75" customHeight="1">
      <c r="K8" s="358"/>
      <c r="L8" s="368" t="s">
        <v>522</v>
      </c>
      <c r="M8" s="369">
        <f>'[7]M6 Tong hop Viec CHV '!$C$12</f>
        <v>1489</v>
      </c>
      <c r="N8" s="364"/>
      <c r="O8" s="364"/>
      <c r="P8" s="361"/>
      <c r="Q8" s="357"/>
      <c r="R8" s="354"/>
    </row>
    <row r="9" spans="11:18" ht="33" customHeight="1">
      <c r="K9" s="358"/>
      <c r="L9" s="376" t="s">
        <v>525</v>
      </c>
      <c r="M9" s="377">
        <f>(M7-M8)/M8</f>
        <v>9.429818670248489</v>
      </c>
      <c r="N9" s="364"/>
      <c r="O9" s="364"/>
      <c r="P9" s="361"/>
      <c r="Q9" s="357"/>
      <c r="R9" s="354"/>
    </row>
    <row r="10" spans="11:18" ht="33" customHeight="1">
      <c r="K10" s="358"/>
      <c r="L10" s="363" t="s">
        <v>524</v>
      </c>
      <c r="M10" s="364">
        <f>'06'!I11</f>
        <v>13657</v>
      </c>
      <c r="N10" s="364" t="s">
        <v>485</v>
      </c>
      <c r="O10" s="370">
        <f>M10/M7</f>
        <v>0.8793947198969736</v>
      </c>
      <c r="P10" s="361"/>
      <c r="Q10" s="357"/>
      <c r="R10" s="354"/>
    </row>
    <row r="11" spans="11:18" ht="22.5" customHeight="1">
      <c r="K11" s="358"/>
      <c r="L11" s="363" t="s">
        <v>526</v>
      </c>
      <c r="M11" s="364">
        <f>'06'!Q11</f>
        <v>1873</v>
      </c>
      <c r="N11" s="364" t="s">
        <v>485</v>
      </c>
      <c r="O11" s="370">
        <f>M11/M7</f>
        <v>0.1206052801030264</v>
      </c>
      <c r="P11" s="361"/>
      <c r="Q11" s="357"/>
      <c r="R11" s="354"/>
    </row>
    <row r="12" spans="11:18" ht="34.5" customHeight="1">
      <c r="K12" s="358"/>
      <c r="L12" s="363" t="s">
        <v>527</v>
      </c>
      <c r="M12" s="364">
        <f>'06'!J11+'06'!K11</f>
        <v>8092</v>
      </c>
      <c r="N12" s="363"/>
      <c r="O12" s="363"/>
      <c r="P12" s="355"/>
      <c r="R12" s="355"/>
    </row>
    <row r="13" spans="11:18" ht="33.75" customHeight="1">
      <c r="K13" s="358"/>
      <c r="L13" s="363" t="s">
        <v>528</v>
      </c>
      <c r="M13" s="370">
        <f>M12/M7</f>
        <v>0.5210560206052801</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529</v>
      </c>
      <c r="M16" s="369">
        <f>'[7]M6 Tong hop Viec CHV '!$H$12+'[7]M6 Tong hop Viec CHV '!$I$12+'[7]M6 Tong hop Viec CHV '!$K$12</f>
        <v>749</v>
      </c>
      <c r="N16" s="364"/>
      <c r="O16" s="364"/>
      <c r="P16" s="361"/>
      <c r="R16" s="355"/>
    </row>
    <row r="17" spans="11:18" ht="24.75" customHeight="1">
      <c r="K17" s="358"/>
      <c r="L17" s="376" t="s">
        <v>530</v>
      </c>
      <c r="M17" s="371">
        <f>M16/M8</f>
        <v>0.5030221625251847</v>
      </c>
      <c r="N17" s="364"/>
      <c r="O17" s="364"/>
      <c r="P17" s="361"/>
      <c r="R17" s="355"/>
    </row>
    <row r="18" spans="11:18" ht="26.25" customHeight="1">
      <c r="K18" s="358"/>
      <c r="L18" s="376" t="s">
        <v>486</v>
      </c>
      <c r="M18" s="377">
        <f>M13-M17</f>
        <v>0.01803385808009539</v>
      </c>
      <c r="N18" s="364"/>
      <c r="O18" s="364"/>
      <c r="P18" s="361"/>
      <c r="R18" s="355"/>
    </row>
    <row r="19" spans="11:18" ht="24.75" customHeight="1">
      <c r="K19" s="358"/>
      <c r="L19" s="363" t="s">
        <v>531</v>
      </c>
      <c r="M19" s="364">
        <f>'06'!J11</f>
        <v>7793</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532</v>
      </c>
      <c r="M26" s="370">
        <f>M19/'06'!I11</f>
        <v>0.5706231236728417</v>
      </c>
      <c r="N26" s="364"/>
      <c r="O26" s="364"/>
      <c r="P26" s="361"/>
      <c r="R26" s="355"/>
    </row>
    <row r="27" spans="11:18" ht="24.75" customHeight="1">
      <c r="K27" s="358"/>
      <c r="L27" s="368" t="s">
        <v>533</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534</v>
      </c>
      <c r="M30" s="370">
        <f>M26-M27</f>
        <v>-0.10203874683075542</v>
      </c>
      <c r="N30" s="364"/>
      <c r="O30" s="364"/>
      <c r="P30" s="361"/>
      <c r="R30" s="355"/>
    </row>
    <row r="31" spans="11:18" ht="24.75" customHeight="1">
      <c r="K31" s="358"/>
      <c r="L31" s="363" t="s">
        <v>535</v>
      </c>
      <c r="M31" s="364">
        <f>'06'!R11</f>
        <v>7438</v>
      </c>
      <c r="N31" s="364"/>
      <c r="O31" s="364"/>
      <c r="P31" s="361"/>
      <c r="R31" s="355"/>
    </row>
    <row r="32" spans="11:18" ht="24.75" customHeight="1">
      <c r="K32" s="358"/>
      <c r="L32" s="368" t="s">
        <v>536</v>
      </c>
      <c r="M32" s="369">
        <f>'[7]M6 Tong hop Viec CHV '!$R$12</f>
        <v>719</v>
      </c>
      <c r="N32" s="364"/>
      <c r="O32" s="364"/>
      <c r="P32" s="361"/>
      <c r="R32" s="355"/>
    </row>
    <row r="33" spans="11:18" ht="24.75" customHeight="1">
      <c r="K33" s="358"/>
      <c r="L33" s="376" t="s">
        <v>537</v>
      </c>
      <c r="M33" s="378">
        <f>M31-M32</f>
        <v>6719</v>
      </c>
      <c r="N33" s="378" t="s">
        <v>487</v>
      </c>
      <c r="O33" s="377">
        <f>(M31-M32)/M32</f>
        <v>9.344923504867872</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489</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538</v>
      </c>
      <c r="M42" s="364">
        <f>'07'!C11</f>
        <v>1316346519</v>
      </c>
      <c r="N42" s="364"/>
      <c r="O42" s="364"/>
      <c r="P42" s="355"/>
      <c r="R42" s="355"/>
    </row>
    <row r="43" spans="11:18" ht="24.75" customHeight="1">
      <c r="K43" s="358"/>
      <c r="L43" s="372" t="s">
        <v>132</v>
      </c>
      <c r="M43" s="364">
        <f>'07'!D11</f>
        <v>840613123</v>
      </c>
      <c r="N43" s="364"/>
      <c r="O43" s="364"/>
      <c r="P43" s="355"/>
      <c r="R43" s="355"/>
    </row>
    <row r="44" spans="11:18" ht="24.75" customHeight="1">
      <c r="K44" s="358"/>
      <c r="L44" s="372" t="s">
        <v>483</v>
      </c>
      <c r="M44" s="364">
        <f>'07'!E11</f>
        <v>475733396</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539</v>
      </c>
      <c r="M47" s="364">
        <f>'07'!F11</f>
        <v>17206978</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540</v>
      </c>
      <c r="M50" s="364">
        <f>'07'!H11</f>
        <v>1299139541</v>
      </c>
      <c r="N50" s="364"/>
      <c r="O50" s="364"/>
      <c r="P50" s="355"/>
      <c r="R50" s="355"/>
    </row>
    <row r="51" spans="11:18" ht="24.75" customHeight="1">
      <c r="K51" s="358"/>
      <c r="L51" s="373" t="s">
        <v>541</v>
      </c>
      <c r="M51" s="369">
        <f>'[7]M7 Thop tien CHV'!$C$12</f>
        <v>54227822.442</v>
      </c>
      <c r="N51" s="364"/>
      <c r="O51" s="364"/>
      <c r="P51" s="355"/>
      <c r="R51" s="355"/>
    </row>
    <row r="52" spans="11:18" ht="24.75" customHeight="1">
      <c r="K52" s="358"/>
      <c r="L52" s="386" t="s">
        <v>490</v>
      </c>
      <c r="M52" s="378">
        <f>M50-M51</f>
        <v>1244911718.558</v>
      </c>
      <c r="N52" s="364"/>
      <c r="O52" s="364"/>
      <c r="P52" s="355"/>
      <c r="R52" s="355"/>
    </row>
    <row r="53" spans="11:18" ht="24.75" customHeight="1">
      <c r="K53" s="358"/>
      <c r="L53" s="386" t="s">
        <v>491</v>
      </c>
      <c r="M53" s="377">
        <f>(M52/M51)</f>
        <v>22.95706636366433</v>
      </c>
      <c r="N53" s="364"/>
      <c r="O53" s="364"/>
      <c r="P53" s="355"/>
      <c r="R53" s="355"/>
    </row>
    <row r="54" spans="11:18" ht="24.75" customHeight="1">
      <c r="K54" s="358"/>
      <c r="L54" s="372" t="s">
        <v>542</v>
      </c>
      <c r="M54" s="364">
        <f>'07'!I11</f>
        <v>1054362177</v>
      </c>
      <c r="N54" s="364" t="s">
        <v>492</v>
      </c>
      <c r="O54" s="370">
        <f>'07'!I11/'07'!H11</f>
        <v>0.8115850097122091</v>
      </c>
      <c r="P54" s="355"/>
      <c r="R54" s="355"/>
    </row>
    <row r="55" spans="11:18" ht="24.75" customHeight="1">
      <c r="K55" s="358"/>
      <c r="L55" s="372" t="s">
        <v>543</v>
      </c>
      <c r="M55" s="364">
        <f>'07'!R11</f>
        <v>244777364</v>
      </c>
      <c r="N55" s="364" t="s">
        <v>492</v>
      </c>
      <c r="O55" s="370">
        <f>'07'!R11/'07'!H11</f>
        <v>0.1884149902877908</v>
      </c>
      <c r="P55" s="355"/>
      <c r="R55" s="355"/>
    </row>
    <row r="56" spans="11:18" ht="24.75" customHeight="1">
      <c r="K56" s="358"/>
      <c r="L56" s="372" t="s">
        <v>544</v>
      </c>
      <c r="M56" s="364">
        <f>'07'!J11+'07'!K11+'07'!L11</f>
        <v>290122638</v>
      </c>
      <c r="N56" s="364" t="s">
        <v>492</v>
      </c>
      <c r="O56" s="370">
        <f>M56/'07'!H11</f>
        <v>0.22331907300479895</v>
      </c>
      <c r="P56" s="355"/>
      <c r="R56" s="355"/>
    </row>
    <row r="57" spans="11:18" ht="24.75" customHeight="1">
      <c r="K57" s="358"/>
      <c r="L57" s="373" t="s">
        <v>545</v>
      </c>
      <c r="M57" s="369">
        <f>'[7]M7 Thop tien CHV'!$H$12+'[7]M7 Thop tien CHV'!$I$12+'[7]M7 Thop tien CHV'!$K$12</f>
        <v>2217726.5</v>
      </c>
      <c r="N57" s="369" t="s">
        <v>492</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546</v>
      </c>
      <c r="M60" s="377">
        <f>O56-O57</f>
        <v>0.1824226032567836</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547</v>
      </c>
      <c r="M63" s="364">
        <f>'07'!J11</f>
        <v>111256951</v>
      </c>
      <c r="N63" s="364" t="s">
        <v>493</v>
      </c>
      <c r="O63" s="370">
        <f>'07'!J11/'07'!I11</f>
        <v>0.1055206203588997</v>
      </c>
      <c r="P63" s="355"/>
      <c r="R63" s="355"/>
    </row>
    <row r="64" spans="11:16" ht="24.75" customHeight="1">
      <c r="K64" s="358"/>
      <c r="L64" s="373" t="s">
        <v>548</v>
      </c>
      <c r="M64" s="369">
        <f>'[7]M7 Thop tien CHV'!$H$12</f>
        <v>2212774.5</v>
      </c>
      <c r="N64" s="369" t="s">
        <v>494</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549</v>
      </c>
      <c r="M68" s="377">
        <f>O63-O64</f>
        <v>0.09127711903908604</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550</v>
      </c>
      <c r="M72" s="364">
        <f>'07'!S11</f>
        <v>1009016903</v>
      </c>
      <c r="N72" s="364"/>
      <c r="O72" s="364"/>
      <c r="P72" s="355"/>
    </row>
    <row r="73" spans="11:16" ht="24.75" customHeight="1">
      <c r="K73" s="358"/>
      <c r="L73" s="373" t="s">
        <v>551</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495</v>
      </c>
      <c r="M76" s="378">
        <f>M72-M73</f>
        <v>960890092.638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496</v>
      </c>
      <c r="M79" s="377">
        <f>M76/M73</f>
        <v>19.96579630792861</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2"/>
  <sheetViews>
    <sheetView zoomScalePageLayoutView="0" workbookViewId="0" topLeftCell="A1">
      <selection activeCell="B10" sqref="B10"/>
    </sheetView>
  </sheetViews>
  <sheetFormatPr defaultColWidth="9.00390625" defaultRowHeight="15.75"/>
  <cols>
    <col min="1" max="1" width="23.50390625" style="0" customWidth="1"/>
    <col min="2" max="2" width="66.125" style="0" customWidth="1"/>
  </cols>
  <sheetData>
    <row r="2" spans="1:2" ht="62.25" customHeight="1">
      <c r="A2" s="1464" t="s">
        <v>581</v>
      </c>
      <c r="B2" s="1464"/>
    </row>
    <row r="3" spans="1:2" ht="22.5" customHeight="1">
      <c r="A3" s="504" t="s">
        <v>556</v>
      </c>
      <c r="B3" s="514" t="s">
        <v>769</v>
      </c>
    </row>
    <row r="4" spans="1:2" ht="22.5" customHeight="1">
      <c r="A4" s="504" t="s">
        <v>554</v>
      </c>
      <c r="B4" s="505" t="s">
        <v>680</v>
      </c>
    </row>
    <row r="5" spans="1:2" ht="22.5" customHeight="1">
      <c r="A5" s="504" t="s">
        <v>557</v>
      </c>
      <c r="B5" s="512" t="s">
        <v>681</v>
      </c>
    </row>
    <row r="6" spans="1:2" ht="22.5" customHeight="1">
      <c r="A6" s="504" t="s">
        <v>558</v>
      </c>
      <c r="B6" s="512" t="s">
        <v>682</v>
      </c>
    </row>
    <row r="7" spans="1:2" ht="22.5" customHeight="1">
      <c r="A7" s="504" t="s">
        <v>559</v>
      </c>
      <c r="B7" s="714" t="s">
        <v>766</v>
      </c>
    </row>
    <row r="8" spans="1:2" ht="22.5" customHeight="1">
      <c r="A8" s="876"/>
      <c r="B8" s="877" t="s">
        <v>767</v>
      </c>
    </row>
    <row r="9" spans="1:2" ht="15.75">
      <c r="A9" s="506" t="s">
        <v>560</v>
      </c>
      <c r="B9" s="513" t="s">
        <v>772</v>
      </c>
    </row>
    <row r="11" spans="1:2" ht="62.25" customHeight="1">
      <c r="A11" s="1465" t="s">
        <v>653</v>
      </c>
      <c r="B11" s="1465"/>
    </row>
    <row r="12" spans="1:2" ht="15.75">
      <c r="A12" s="1466" t="s">
        <v>580</v>
      </c>
      <c r="B12" s="1466"/>
    </row>
  </sheetData>
  <sheetProtection/>
  <mergeCells count="3">
    <mergeCell ref="A2:B2"/>
    <mergeCell ref="A11:B11"/>
    <mergeCell ref="A12:B1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Normal="85" zoomScaleSheetLayoutView="100" zoomScalePageLayoutView="0" workbookViewId="0" topLeftCell="A1">
      <selection activeCell="J12" sqref="J12"/>
    </sheetView>
  </sheetViews>
  <sheetFormatPr defaultColWidth="9.00390625" defaultRowHeight="15.75"/>
  <cols>
    <col min="1" max="1" width="4.125" style="435" customWidth="1"/>
    <col min="2" max="2" width="23.25390625" style="388" customWidth="1"/>
    <col min="3" max="3" width="11.875" style="388" customWidth="1"/>
    <col min="4" max="4" width="9.625" style="388" customWidth="1"/>
    <col min="5" max="5" width="9.50390625" style="388" customWidth="1"/>
    <col min="6" max="6" width="9.125" style="388" customWidth="1"/>
    <col min="7" max="7" width="9.25390625" style="388" customWidth="1"/>
    <col min="8" max="8" width="8.50390625" style="388" customWidth="1"/>
    <col min="9" max="11" width="7.75390625" style="388" customWidth="1"/>
    <col min="12" max="12" width="9.00390625" style="388" customWidth="1"/>
    <col min="13" max="13" width="8.375" style="388" customWidth="1"/>
    <col min="14" max="14" width="8.75390625" style="388" customWidth="1"/>
    <col min="15" max="16384" width="9.00390625" style="388" customWidth="1"/>
  </cols>
  <sheetData>
    <row r="1" spans="1:14" ht="19.5" customHeight="1">
      <c r="A1" s="1467" t="s">
        <v>29</v>
      </c>
      <c r="B1" s="1467"/>
      <c r="C1" s="414"/>
      <c r="D1" s="1468" t="s">
        <v>82</v>
      </c>
      <c r="E1" s="1468"/>
      <c r="F1" s="1468"/>
      <c r="G1" s="1468"/>
      <c r="H1" s="1468"/>
      <c r="I1" s="1468"/>
      <c r="J1" s="1468"/>
      <c r="K1" s="1468"/>
      <c r="L1" s="1469" t="s">
        <v>555</v>
      </c>
      <c r="M1" s="1469"/>
      <c r="N1" s="1469"/>
    </row>
    <row r="2" spans="1:16" ht="16.5" customHeight="1">
      <c r="A2" s="415" t="s">
        <v>342</v>
      </c>
      <c r="B2" s="415"/>
      <c r="C2" s="415"/>
      <c r="D2" s="1468" t="s">
        <v>118</v>
      </c>
      <c r="E2" s="1468"/>
      <c r="F2" s="1468"/>
      <c r="G2" s="1468"/>
      <c r="H2" s="1468"/>
      <c r="I2" s="1468"/>
      <c r="J2" s="1468"/>
      <c r="K2" s="1468"/>
      <c r="L2" s="1470" t="str">
        <f>'Thong tin'!B4</f>
        <v>Cục THADS tỉnh Bình Thuận</v>
      </c>
      <c r="M2" s="1470"/>
      <c r="N2" s="1470"/>
      <c r="P2" s="389"/>
    </row>
    <row r="3" spans="1:16" ht="16.5" customHeight="1">
      <c r="A3" s="415" t="s">
        <v>343</v>
      </c>
      <c r="B3" s="415"/>
      <c r="C3" s="413"/>
      <c r="D3" s="1471" t="str">
        <f>'Thong tin'!B3</f>
        <v>10 tháng / năm 2016</v>
      </c>
      <c r="E3" s="1471"/>
      <c r="F3" s="1471"/>
      <c r="G3" s="1471"/>
      <c r="H3" s="1471"/>
      <c r="I3" s="1471"/>
      <c r="J3" s="1471"/>
      <c r="K3" s="1471"/>
      <c r="L3" s="1469" t="s">
        <v>763</v>
      </c>
      <c r="M3" s="1469"/>
      <c r="N3" s="1469"/>
      <c r="P3" s="390"/>
    </row>
    <row r="4" spans="1:16" ht="16.5" customHeight="1">
      <c r="A4" s="416" t="s">
        <v>119</v>
      </c>
      <c r="B4" s="417"/>
      <c r="C4" s="418"/>
      <c r="D4" s="419"/>
      <c r="E4" s="419"/>
      <c r="F4" s="418"/>
      <c r="G4" s="420"/>
      <c r="H4" s="420"/>
      <c r="I4" s="420"/>
      <c r="J4" s="418"/>
      <c r="K4" s="419"/>
      <c r="L4" s="1470" t="s">
        <v>764</v>
      </c>
      <c r="M4" s="1470"/>
      <c r="N4" s="1470"/>
      <c r="P4" s="390"/>
    </row>
    <row r="5" spans="1:16" ht="16.5" customHeight="1">
      <c r="A5" s="421"/>
      <c r="B5" s="418"/>
      <c r="C5" s="418"/>
      <c r="D5" s="418"/>
      <c r="E5" s="418"/>
      <c r="F5" s="422"/>
      <c r="G5" s="423"/>
      <c r="H5" s="423"/>
      <c r="I5" s="423"/>
      <c r="J5" s="422"/>
      <c r="K5" s="424"/>
      <c r="L5" s="1477" t="s">
        <v>8</v>
      </c>
      <c r="M5" s="1477"/>
      <c r="N5" s="1477"/>
      <c r="P5" s="390"/>
    </row>
    <row r="6" spans="1:16" ht="18.75" customHeight="1">
      <c r="A6" s="1481" t="s">
        <v>69</v>
      </c>
      <c r="B6" s="1482"/>
      <c r="C6" s="1487" t="s">
        <v>38</v>
      </c>
      <c r="D6" s="1487" t="s">
        <v>337</v>
      </c>
      <c r="E6" s="1489"/>
      <c r="F6" s="1489"/>
      <c r="G6" s="1489"/>
      <c r="H6" s="1489"/>
      <c r="I6" s="1489"/>
      <c r="J6" s="1489"/>
      <c r="K6" s="1489"/>
      <c r="L6" s="1489"/>
      <c r="M6" s="1489"/>
      <c r="N6" s="1490"/>
      <c r="P6" s="390"/>
    </row>
    <row r="7" spans="1:16" ht="20.25" customHeight="1">
      <c r="A7" s="1483"/>
      <c r="B7" s="1484"/>
      <c r="C7" s="1488"/>
      <c r="D7" s="1491" t="s">
        <v>120</v>
      </c>
      <c r="E7" s="1493" t="s">
        <v>121</v>
      </c>
      <c r="F7" s="1494"/>
      <c r="G7" s="1495"/>
      <c r="H7" s="1473" t="s">
        <v>122</v>
      </c>
      <c r="I7" s="1473" t="s">
        <v>123</v>
      </c>
      <c r="J7" s="1473" t="s">
        <v>124</v>
      </c>
      <c r="K7" s="1473" t="s">
        <v>125</v>
      </c>
      <c r="L7" s="1473" t="s">
        <v>126</v>
      </c>
      <c r="M7" s="1473" t="s">
        <v>127</v>
      </c>
      <c r="N7" s="1473" t="s">
        <v>128</v>
      </c>
      <c r="O7" s="390"/>
      <c r="P7" s="390"/>
    </row>
    <row r="8" spans="1:16" ht="21" customHeight="1">
      <c r="A8" s="1483"/>
      <c r="B8" s="1484"/>
      <c r="C8" s="1488"/>
      <c r="D8" s="1491"/>
      <c r="E8" s="1480" t="s">
        <v>37</v>
      </c>
      <c r="F8" s="1475" t="s">
        <v>7</v>
      </c>
      <c r="G8" s="1476"/>
      <c r="H8" s="1473"/>
      <c r="I8" s="1473"/>
      <c r="J8" s="1473"/>
      <c r="K8" s="1473"/>
      <c r="L8" s="1473"/>
      <c r="M8" s="1473"/>
      <c r="N8" s="1473"/>
      <c r="O8" s="1472"/>
      <c r="P8" s="1472"/>
    </row>
    <row r="9" spans="1:16" ht="24.75" customHeight="1">
      <c r="A9" s="1485"/>
      <c r="B9" s="1486"/>
      <c r="C9" s="1488"/>
      <c r="D9" s="1492"/>
      <c r="E9" s="1474"/>
      <c r="F9" s="515" t="s">
        <v>200</v>
      </c>
      <c r="G9" s="516" t="s">
        <v>201</v>
      </c>
      <c r="H9" s="1474"/>
      <c r="I9" s="1474"/>
      <c r="J9" s="1474"/>
      <c r="K9" s="1474"/>
      <c r="L9" s="1474"/>
      <c r="M9" s="1474"/>
      <c r="N9" s="1474"/>
      <c r="O9" s="391"/>
      <c r="P9" s="391"/>
    </row>
    <row r="10" spans="1:16" s="393" customFormat="1" ht="18.75" customHeight="1">
      <c r="A10" s="1478" t="s">
        <v>40</v>
      </c>
      <c r="B10" s="1479"/>
      <c r="C10" s="500">
        <v>1</v>
      </c>
      <c r="D10" s="500">
        <v>2</v>
      </c>
      <c r="E10" s="500">
        <v>3</v>
      </c>
      <c r="F10" s="500">
        <v>4</v>
      </c>
      <c r="G10" s="500">
        <v>5</v>
      </c>
      <c r="H10" s="500">
        <v>6</v>
      </c>
      <c r="I10" s="500">
        <v>7</v>
      </c>
      <c r="J10" s="500">
        <v>8</v>
      </c>
      <c r="K10" s="500">
        <v>9</v>
      </c>
      <c r="L10" s="500">
        <v>10</v>
      </c>
      <c r="M10" s="500">
        <v>11</v>
      </c>
      <c r="N10" s="500">
        <v>12</v>
      </c>
      <c r="O10" s="392"/>
      <c r="P10" s="392"/>
    </row>
    <row r="11" spans="1:17" ht="22.5" customHeight="1">
      <c r="A11" s="501" t="s">
        <v>0</v>
      </c>
      <c r="B11" s="426" t="s">
        <v>131</v>
      </c>
      <c r="C11" s="759">
        <f>D11+E11+H11+I11+J11+K11+L11+M11+N11</f>
        <v>11211</v>
      </c>
      <c r="D11" s="858">
        <f>D12+D13</f>
        <v>3552</v>
      </c>
      <c r="E11" s="858">
        <f>F11+G11</f>
        <v>2818</v>
      </c>
      <c r="F11" s="859">
        <f>F12+F13</f>
        <v>294</v>
      </c>
      <c r="G11" s="859">
        <f aca="true" t="shared" si="0" ref="G11:N11">G12+G13</f>
        <v>2524</v>
      </c>
      <c r="H11" s="859">
        <f t="shared" si="0"/>
        <v>33</v>
      </c>
      <c r="I11" s="859">
        <f t="shared" si="0"/>
        <v>4589</v>
      </c>
      <c r="J11" s="859">
        <f t="shared" si="0"/>
        <v>184</v>
      </c>
      <c r="K11" s="859">
        <f t="shared" si="0"/>
        <v>7</v>
      </c>
      <c r="L11" s="859">
        <f t="shared" si="0"/>
        <v>1</v>
      </c>
      <c r="M11" s="859">
        <f t="shared" si="0"/>
        <v>0</v>
      </c>
      <c r="N11" s="859">
        <f t="shared" si="0"/>
        <v>27</v>
      </c>
      <c r="O11" s="390"/>
      <c r="P11" s="390"/>
      <c r="Q11" s="427"/>
    </row>
    <row r="12" spans="1:16" ht="22.5" customHeight="1">
      <c r="A12" s="502">
        <v>1</v>
      </c>
      <c r="B12" s="429" t="s">
        <v>132</v>
      </c>
      <c r="C12" s="759">
        <f aca="true" t="shared" si="1" ref="C12:C25">D12+E12+H12+I12+J12+K12+L12+M12+N12</f>
        <v>3042</v>
      </c>
      <c r="D12" s="860">
        <f>48+245+265+115+22+121+77+120+63+99+13-6</f>
        <v>1182</v>
      </c>
      <c r="E12" s="858">
        <f aca="true" t="shared" si="2" ref="E12:E25">F12+G12</f>
        <v>1446</v>
      </c>
      <c r="F12" s="861">
        <f>2+43+40+33+9+5+2+5+1+0-6</f>
        <v>134</v>
      </c>
      <c r="G12" s="861">
        <f>98+291+165+116+68+103+66+175+94+128+8</f>
        <v>1312</v>
      </c>
      <c r="H12" s="861">
        <f>2+0</f>
        <v>2</v>
      </c>
      <c r="I12" s="861">
        <f>1+32+79+16+6+34+4+34+1+100+1</f>
        <v>308</v>
      </c>
      <c r="J12" s="861">
        <f>17+32+6+1+8+20+2+17+0-1</f>
        <v>102</v>
      </c>
      <c r="K12" s="861">
        <v>1</v>
      </c>
      <c r="L12" s="861">
        <v>1</v>
      </c>
      <c r="M12" s="861">
        <v>0</v>
      </c>
      <c r="N12" s="862"/>
      <c r="O12" s="390"/>
      <c r="P12" s="390"/>
    </row>
    <row r="13" spans="1:16" ht="22.5" customHeight="1">
      <c r="A13" s="502">
        <v>2</v>
      </c>
      <c r="B13" s="429" t="s">
        <v>133</v>
      </c>
      <c r="C13" s="759">
        <f t="shared" si="1"/>
        <v>8169</v>
      </c>
      <c r="D13" s="863">
        <f>17+263+297+470+185+284+162+176+185+326+5+0</f>
        <v>2370</v>
      </c>
      <c r="E13" s="858">
        <f t="shared" si="2"/>
        <v>1372</v>
      </c>
      <c r="F13" s="862">
        <f>48+28+65+4+0+2+6+7+0</f>
        <v>160</v>
      </c>
      <c r="G13" s="862">
        <f>22+212+142+189+120+113+71+98+115+114+16</f>
        <v>1212</v>
      </c>
      <c r="H13" s="862">
        <v>31</v>
      </c>
      <c r="I13" s="862">
        <f>12+771+524+578+358+388+316+631+466+175+62</f>
        <v>4281</v>
      </c>
      <c r="J13" s="862">
        <f>2+8+6+3+5+9+44+5+0</f>
        <v>82</v>
      </c>
      <c r="K13" s="862">
        <v>6</v>
      </c>
      <c r="L13" s="862">
        <v>0</v>
      </c>
      <c r="M13" s="862">
        <v>0</v>
      </c>
      <c r="N13" s="862">
        <v>27</v>
      </c>
      <c r="O13" s="390"/>
      <c r="P13" s="390"/>
    </row>
    <row r="14" spans="1:16" ht="22.5" customHeight="1">
      <c r="A14" s="718" t="s">
        <v>1</v>
      </c>
      <c r="B14" s="719" t="s">
        <v>134</v>
      </c>
      <c r="C14" s="759">
        <f t="shared" si="1"/>
        <v>153</v>
      </c>
      <c r="D14" s="864">
        <v>8</v>
      </c>
      <c r="E14" s="858">
        <f t="shared" si="2"/>
        <v>133</v>
      </c>
      <c r="F14" s="865">
        <v>0</v>
      </c>
      <c r="G14" s="865">
        <f>1+17+27+4+6+2+3+6+31+31+5</f>
        <v>133</v>
      </c>
      <c r="H14" s="865">
        <v>0</v>
      </c>
      <c r="I14" s="865">
        <v>11</v>
      </c>
      <c r="J14" s="865">
        <v>1</v>
      </c>
      <c r="K14" s="865">
        <v>0</v>
      </c>
      <c r="L14" s="865">
        <v>0</v>
      </c>
      <c r="M14" s="865">
        <v>0</v>
      </c>
      <c r="N14" s="865">
        <v>0</v>
      </c>
      <c r="O14" s="390"/>
      <c r="P14" s="390"/>
    </row>
    <row r="15" spans="1:16" ht="22.5" customHeight="1">
      <c r="A15" s="718" t="s">
        <v>9</v>
      </c>
      <c r="B15" s="719" t="s">
        <v>135</v>
      </c>
      <c r="C15" s="759">
        <f t="shared" si="1"/>
        <v>10</v>
      </c>
      <c r="D15" s="864">
        <v>7</v>
      </c>
      <c r="E15" s="858">
        <f t="shared" si="2"/>
        <v>0</v>
      </c>
      <c r="F15" s="865">
        <v>0</v>
      </c>
      <c r="G15" s="865">
        <v>0</v>
      </c>
      <c r="H15" s="865">
        <v>0</v>
      </c>
      <c r="I15" s="865">
        <v>0</v>
      </c>
      <c r="J15" s="865">
        <v>3</v>
      </c>
      <c r="K15" s="865">
        <v>0</v>
      </c>
      <c r="L15" s="865">
        <v>0</v>
      </c>
      <c r="M15" s="865">
        <v>0</v>
      </c>
      <c r="N15" s="865">
        <v>0</v>
      </c>
      <c r="O15" s="390"/>
      <c r="P15" s="390"/>
    </row>
    <row r="16" spans="1:15" ht="22.5" customHeight="1">
      <c r="A16" s="715" t="s">
        <v>136</v>
      </c>
      <c r="B16" s="716" t="s">
        <v>137</v>
      </c>
      <c r="C16" s="759">
        <f>C17+C25</f>
        <v>11058</v>
      </c>
      <c r="D16" s="759">
        <f aca="true" t="shared" si="3" ref="D16:N16">D17+D25</f>
        <v>3544</v>
      </c>
      <c r="E16" s="759">
        <f t="shared" si="3"/>
        <v>2685</v>
      </c>
      <c r="F16" s="759">
        <f t="shared" si="3"/>
        <v>294</v>
      </c>
      <c r="G16" s="759">
        <f t="shared" si="3"/>
        <v>2391</v>
      </c>
      <c r="H16" s="759">
        <f t="shared" si="3"/>
        <v>33</v>
      </c>
      <c r="I16" s="759">
        <f t="shared" si="3"/>
        <v>4578</v>
      </c>
      <c r="J16" s="759">
        <f t="shared" si="3"/>
        <v>183</v>
      </c>
      <c r="K16" s="759">
        <f t="shared" si="3"/>
        <v>7</v>
      </c>
      <c r="L16" s="759">
        <f t="shared" si="3"/>
        <v>1</v>
      </c>
      <c r="M16" s="759">
        <f t="shared" si="3"/>
        <v>0</v>
      </c>
      <c r="N16" s="759">
        <f t="shared" si="3"/>
        <v>27</v>
      </c>
      <c r="O16" s="390"/>
    </row>
    <row r="17" spans="1:15" ht="22.5" customHeight="1">
      <c r="A17" s="715" t="s">
        <v>52</v>
      </c>
      <c r="B17" s="717" t="s">
        <v>138</v>
      </c>
      <c r="C17" s="759">
        <f t="shared" si="1"/>
        <v>9613</v>
      </c>
      <c r="D17" s="866">
        <f>D18+D19+D20+D21+D22+D23+D24</f>
        <v>3195</v>
      </c>
      <c r="E17" s="858">
        <f t="shared" si="2"/>
        <v>1667</v>
      </c>
      <c r="F17" s="866">
        <f>F18+F19+F20+F21+F22+F23+F24</f>
        <v>183</v>
      </c>
      <c r="G17" s="866">
        <f aca="true" t="shared" si="4" ref="G17:N17">G18+G19+G20+G21+G22+G23+G24</f>
        <v>1484</v>
      </c>
      <c r="H17" s="866">
        <f t="shared" si="4"/>
        <v>33</v>
      </c>
      <c r="I17" s="866">
        <f t="shared" si="4"/>
        <v>4513</v>
      </c>
      <c r="J17" s="866">
        <f t="shared" si="4"/>
        <v>170</v>
      </c>
      <c r="K17" s="866">
        <f t="shared" si="4"/>
        <v>7</v>
      </c>
      <c r="L17" s="866">
        <f t="shared" si="4"/>
        <v>1</v>
      </c>
      <c r="M17" s="866">
        <f t="shared" si="4"/>
        <v>0</v>
      </c>
      <c r="N17" s="866">
        <f t="shared" si="4"/>
        <v>27</v>
      </c>
      <c r="O17" s="390"/>
    </row>
    <row r="18" spans="1:15" ht="22.5" customHeight="1">
      <c r="A18" s="502" t="s">
        <v>54</v>
      </c>
      <c r="B18" s="429" t="s">
        <v>139</v>
      </c>
      <c r="C18" s="759">
        <f t="shared" si="1"/>
        <v>7270</v>
      </c>
      <c r="D18" s="867">
        <f>6+272+131+133+148+272+123+409+272+255+31+0</f>
        <v>2052</v>
      </c>
      <c r="E18" s="858">
        <f t="shared" si="2"/>
        <v>1075</v>
      </c>
      <c r="F18" s="867">
        <f>2+5+2+4+49+13+38+0</f>
        <v>113</v>
      </c>
      <c r="G18" s="867">
        <f>17+96+85+88+67+101+80+151+91+160+26</f>
        <v>962</v>
      </c>
      <c r="H18" s="867">
        <v>32</v>
      </c>
      <c r="I18" s="867">
        <f>62+265+440+573+280+375+325+516+475+686+12+0</f>
        <v>4009</v>
      </c>
      <c r="J18" s="867">
        <f>3+32+9+0+8+7+5+10+1</f>
        <v>75</v>
      </c>
      <c r="K18" s="867">
        <v>5</v>
      </c>
      <c r="L18" s="867">
        <v>0</v>
      </c>
      <c r="M18" s="867">
        <v>0</v>
      </c>
      <c r="N18" s="863">
        <v>22</v>
      </c>
      <c r="O18" s="390"/>
    </row>
    <row r="19" spans="1:15" ht="20.25" customHeight="1">
      <c r="A19" s="502" t="s">
        <v>55</v>
      </c>
      <c r="B19" s="429" t="s">
        <v>140</v>
      </c>
      <c r="C19" s="759">
        <f t="shared" si="1"/>
        <v>61</v>
      </c>
      <c r="D19" s="867">
        <v>14</v>
      </c>
      <c r="E19" s="858">
        <f t="shared" si="2"/>
        <v>38</v>
      </c>
      <c r="F19" s="867">
        <v>1</v>
      </c>
      <c r="G19" s="867">
        <f>37</f>
        <v>37</v>
      </c>
      <c r="H19" s="867">
        <v>0</v>
      </c>
      <c r="I19" s="867">
        <v>8</v>
      </c>
      <c r="J19" s="867">
        <v>1</v>
      </c>
      <c r="K19" s="867">
        <v>0</v>
      </c>
      <c r="L19" s="867">
        <v>0</v>
      </c>
      <c r="M19" s="867">
        <v>0</v>
      </c>
      <c r="N19" s="863">
        <v>0</v>
      </c>
      <c r="O19" s="390"/>
    </row>
    <row r="20" spans="1:15" ht="21" customHeight="1">
      <c r="A20" s="502" t="s">
        <v>141</v>
      </c>
      <c r="B20" s="429" t="s">
        <v>142</v>
      </c>
      <c r="C20" s="759">
        <f t="shared" si="1"/>
        <v>2122</v>
      </c>
      <c r="D20" s="863">
        <f>22+165+124+132+69+100+66+117+108+130+1</f>
        <v>1034</v>
      </c>
      <c r="E20" s="858">
        <f t="shared" si="2"/>
        <v>518</v>
      </c>
      <c r="F20" s="863">
        <f>23+25+9+1+2+0</f>
        <v>60</v>
      </c>
      <c r="G20" s="863">
        <f>21+94+51+29+42+25+26+75+51+44+0</f>
        <v>458</v>
      </c>
      <c r="H20" s="863">
        <v>1</v>
      </c>
      <c r="I20" s="863">
        <f>1+100+96+73+35+34+37+77+24+7+0</f>
        <v>484</v>
      </c>
      <c r="J20" s="863">
        <f>1+8+1+16+5+3+30+14+0</f>
        <v>78</v>
      </c>
      <c r="K20" s="863">
        <v>2</v>
      </c>
      <c r="L20" s="863">
        <v>0</v>
      </c>
      <c r="M20" s="863">
        <v>0</v>
      </c>
      <c r="N20" s="863">
        <v>5</v>
      </c>
      <c r="O20" s="390"/>
    </row>
    <row r="21" spans="1:15" ht="21" customHeight="1">
      <c r="A21" s="502" t="s">
        <v>143</v>
      </c>
      <c r="B21" s="429" t="s">
        <v>144</v>
      </c>
      <c r="C21" s="759">
        <f t="shared" si="1"/>
        <v>26</v>
      </c>
      <c r="D21" s="867">
        <v>11</v>
      </c>
      <c r="E21" s="858">
        <f t="shared" si="2"/>
        <v>13</v>
      </c>
      <c r="F21" s="867">
        <v>1</v>
      </c>
      <c r="G21" s="867">
        <v>12</v>
      </c>
      <c r="H21" s="867">
        <v>0</v>
      </c>
      <c r="I21" s="867">
        <v>1</v>
      </c>
      <c r="J21" s="867">
        <v>1</v>
      </c>
      <c r="K21" s="867">
        <v>0</v>
      </c>
      <c r="L21" s="867">
        <v>0</v>
      </c>
      <c r="M21" s="867">
        <v>0</v>
      </c>
      <c r="N21" s="863">
        <v>0</v>
      </c>
      <c r="O21" s="390"/>
    </row>
    <row r="22" spans="1:15" ht="21" customHeight="1">
      <c r="A22" s="502" t="s">
        <v>145</v>
      </c>
      <c r="B22" s="429" t="s">
        <v>146</v>
      </c>
      <c r="C22" s="759">
        <f t="shared" si="1"/>
        <v>5</v>
      </c>
      <c r="D22" s="867">
        <v>4</v>
      </c>
      <c r="E22" s="858">
        <f t="shared" si="2"/>
        <v>0</v>
      </c>
      <c r="F22" s="867">
        <v>0</v>
      </c>
      <c r="G22" s="867">
        <v>0</v>
      </c>
      <c r="H22" s="867">
        <v>0</v>
      </c>
      <c r="I22" s="867">
        <v>1</v>
      </c>
      <c r="J22" s="867">
        <v>0</v>
      </c>
      <c r="K22" s="867">
        <v>0</v>
      </c>
      <c r="L22" s="867">
        <v>0</v>
      </c>
      <c r="M22" s="867">
        <v>0</v>
      </c>
      <c r="N22" s="863">
        <v>0</v>
      </c>
      <c r="O22" s="390"/>
    </row>
    <row r="23" spans="1:15" ht="25.5">
      <c r="A23" s="502" t="s">
        <v>147</v>
      </c>
      <c r="B23" s="431" t="s">
        <v>148</v>
      </c>
      <c r="C23" s="759">
        <f t="shared" si="1"/>
        <v>0</v>
      </c>
      <c r="D23" s="863">
        <v>0</v>
      </c>
      <c r="E23" s="858">
        <f t="shared" si="2"/>
        <v>0</v>
      </c>
      <c r="F23" s="863">
        <v>0</v>
      </c>
      <c r="G23" s="863">
        <v>0</v>
      </c>
      <c r="H23" s="863">
        <v>0</v>
      </c>
      <c r="I23" s="863">
        <v>0</v>
      </c>
      <c r="J23" s="863">
        <v>0</v>
      </c>
      <c r="K23" s="863">
        <v>0</v>
      </c>
      <c r="L23" s="863">
        <v>0</v>
      </c>
      <c r="M23" s="863">
        <v>0</v>
      </c>
      <c r="N23" s="863">
        <v>0</v>
      </c>
      <c r="O23" s="390"/>
    </row>
    <row r="24" spans="1:15" ht="21" customHeight="1">
      <c r="A24" s="502" t="s">
        <v>149</v>
      </c>
      <c r="B24" s="429" t="s">
        <v>150</v>
      </c>
      <c r="C24" s="759">
        <f t="shared" si="1"/>
        <v>129</v>
      </c>
      <c r="D24" s="863">
        <v>80</v>
      </c>
      <c r="E24" s="858">
        <f t="shared" si="2"/>
        <v>23</v>
      </c>
      <c r="F24" s="863">
        <f>8</f>
        <v>8</v>
      </c>
      <c r="G24" s="863">
        <v>15</v>
      </c>
      <c r="H24" s="863">
        <v>0</v>
      </c>
      <c r="I24" s="863">
        <v>10</v>
      </c>
      <c r="J24" s="863">
        <v>15</v>
      </c>
      <c r="K24" s="863">
        <v>0</v>
      </c>
      <c r="L24" s="863">
        <v>1</v>
      </c>
      <c r="M24" s="863">
        <v>0</v>
      </c>
      <c r="N24" s="863">
        <v>0</v>
      </c>
      <c r="O24" s="390"/>
    </row>
    <row r="25" spans="1:15" ht="21" customHeight="1">
      <c r="A25" s="715" t="s">
        <v>53</v>
      </c>
      <c r="B25" s="716" t="s">
        <v>151</v>
      </c>
      <c r="C25" s="759">
        <f t="shared" si="1"/>
        <v>1445</v>
      </c>
      <c r="D25" s="759">
        <f>11+22+7+42+22+27+9+39+91+70+9+0</f>
        <v>349</v>
      </c>
      <c r="E25" s="858">
        <f t="shared" si="2"/>
        <v>1018</v>
      </c>
      <c r="F25" s="759">
        <f>1+5+1+3+9+38+24+28+2+0</f>
        <v>111</v>
      </c>
      <c r="G25" s="759">
        <f>6+82+44+106+37+63+58+116+126+59+210</f>
        <v>907</v>
      </c>
      <c r="H25" s="759">
        <v>0</v>
      </c>
      <c r="I25" s="759">
        <f>65</f>
        <v>65</v>
      </c>
      <c r="J25" s="759">
        <v>13</v>
      </c>
      <c r="K25" s="759">
        <v>0</v>
      </c>
      <c r="L25" s="759">
        <v>0</v>
      </c>
      <c r="M25" s="759">
        <v>0</v>
      </c>
      <c r="N25" s="868">
        <v>0</v>
      </c>
      <c r="O25" s="390"/>
    </row>
    <row r="26" spans="1:15" s="413" customFormat="1" ht="26.25">
      <c r="A26" s="503" t="s">
        <v>553</v>
      </c>
      <c r="B26" s="432" t="s">
        <v>152</v>
      </c>
      <c r="C26" s="857">
        <f>(C18+C19)/C17</f>
        <v>0.7626131280557579</v>
      </c>
      <c r="D26" s="857">
        <f aca="true" t="shared" si="5" ref="D26:N26">(D18+C19)/D17</f>
        <v>0.6613458528951487</v>
      </c>
      <c r="E26" s="857">
        <f t="shared" si="5"/>
        <v>0.6532693461307738</v>
      </c>
      <c r="F26" s="857">
        <f t="shared" si="5"/>
        <v>0.825136612021858</v>
      </c>
      <c r="G26" s="857">
        <f t="shared" si="5"/>
        <v>0.648921832884097</v>
      </c>
      <c r="H26" s="857">
        <f>(H18+H19)/H17</f>
        <v>0.9696969696969697</v>
      </c>
      <c r="I26" s="857">
        <f t="shared" si="5"/>
        <v>0.8883226235320186</v>
      </c>
      <c r="J26" s="857">
        <f t="shared" si="5"/>
        <v>0.48823529411764705</v>
      </c>
      <c r="K26" s="857">
        <f>(K18+J19)/K17</f>
        <v>0.8571428571428571</v>
      </c>
      <c r="L26" s="857">
        <f>(L18+K19)/L17</f>
        <v>0</v>
      </c>
      <c r="M26" s="857" t="e">
        <f t="shared" si="5"/>
        <v>#DIV/0!</v>
      </c>
      <c r="N26" s="857">
        <f t="shared" si="5"/>
        <v>0.8148148148148148</v>
      </c>
      <c r="O26" s="390"/>
    </row>
    <row r="27" spans="3:14" ht="15">
      <c r="C27" s="888">
        <f>C25+C17+C14-C11</f>
        <v>0</v>
      </c>
      <c r="D27" s="888">
        <f aca="true" t="shared" si="6" ref="D27:N27">D25+D17+D14-D11</f>
        <v>0</v>
      </c>
      <c r="E27" s="888">
        <f t="shared" si="6"/>
        <v>0</v>
      </c>
      <c r="F27" s="888">
        <f t="shared" si="6"/>
        <v>0</v>
      </c>
      <c r="G27" s="888">
        <f t="shared" si="6"/>
        <v>0</v>
      </c>
      <c r="H27" s="888">
        <f t="shared" si="6"/>
        <v>0</v>
      </c>
      <c r="I27" s="888">
        <f t="shared" si="6"/>
        <v>0</v>
      </c>
      <c r="J27" s="888">
        <f t="shared" si="6"/>
        <v>0</v>
      </c>
      <c r="K27" s="888">
        <f t="shared" si="6"/>
        <v>0</v>
      </c>
      <c r="L27" s="888">
        <f t="shared" si="6"/>
        <v>0</v>
      </c>
      <c r="M27" s="888">
        <f t="shared" si="6"/>
        <v>0</v>
      </c>
      <c r="N27" s="888">
        <f t="shared" si="6"/>
        <v>0</v>
      </c>
    </row>
  </sheetData>
  <sheetProtection/>
  <mergeCells count="25">
    <mergeCell ref="A10:B10"/>
    <mergeCell ref="M7:M9"/>
    <mergeCell ref="N7:N9"/>
    <mergeCell ref="E8:E9"/>
    <mergeCell ref="L7:L9"/>
    <mergeCell ref="A6:B9"/>
    <mergeCell ref="C6:C9"/>
    <mergeCell ref="D6:N6"/>
    <mergeCell ref="D7:D9"/>
    <mergeCell ref="E7:G7"/>
    <mergeCell ref="D3:K3"/>
    <mergeCell ref="O8:P8"/>
    <mergeCell ref="J7:J9"/>
    <mergeCell ref="K7:K9"/>
    <mergeCell ref="F8:G8"/>
    <mergeCell ref="H7:H9"/>
    <mergeCell ref="L3:N3"/>
    <mergeCell ref="L4:N4"/>
    <mergeCell ref="L5:N5"/>
    <mergeCell ref="I7:I9"/>
    <mergeCell ref="A1:B1"/>
    <mergeCell ref="D1:K1"/>
    <mergeCell ref="L1:N1"/>
    <mergeCell ref="D2:K2"/>
    <mergeCell ref="L2:N2"/>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F496"/>
  <sheetViews>
    <sheetView showZeros="0" view="pageBreakPreview" zoomScaleNormal="80" zoomScaleSheetLayoutView="100" zoomScalePageLayoutView="0" workbookViewId="0" topLeftCell="A4">
      <selection activeCell="C9" sqref="C9"/>
    </sheetView>
  </sheetViews>
  <sheetFormatPr defaultColWidth="9.00390625" defaultRowHeight="15.75"/>
  <cols>
    <col min="1" max="1" width="4.875" style="33" customWidth="1"/>
    <col min="2" max="2" width="70.75390625" style="33" customWidth="1"/>
    <col min="3" max="3" width="51.375" style="33" customWidth="1"/>
    <col min="4" max="16384" width="9.00390625" style="33" customWidth="1"/>
  </cols>
  <sheetData>
    <row r="1" spans="1:3" s="1" customFormat="1" ht="31.5" customHeight="1">
      <c r="A1" s="1497" t="s">
        <v>182</v>
      </c>
      <c r="B1" s="1498"/>
      <c r="C1" s="1498"/>
    </row>
    <row r="2" spans="1:3" ht="18.75" customHeight="1">
      <c r="A2" s="1499" t="s">
        <v>70</v>
      </c>
      <c r="B2" s="1499"/>
      <c r="C2" s="499" t="s">
        <v>340</v>
      </c>
    </row>
    <row r="3" spans="1:3" ht="13.5" customHeight="1">
      <c r="A3" s="1496" t="s">
        <v>6</v>
      </c>
      <c r="B3" s="1496"/>
      <c r="C3" s="5">
        <v>1</v>
      </c>
    </row>
    <row r="4" spans="1:4" ht="15" customHeight="1">
      <c r="A4" s="855" t="s">
        <v>52</v>
      </c>
      <c r="B4" s="856" t="s">
        <v>564</v>
      </c>
      <c r="C4" s="893">
        <f>'01'!C21</f>
        <v>26</v>
      </c>
      <c r="D4" s="890">
        <f>C5+C6+C7+C8+C9+C10+C11-C4</f>
        <v>0</v>
      </c>
    </row>
    <row r="5" spans="1:4" s="6" customFormat="1" ht="14.25" customHeight="1">
      <c r="A5" s="5" t="s">
        <v>54</v>
      </c>
      <c r="B5" s="509" t="s">
        <v>153</v>
      </c>
      <c r="C5" s="1161">
        <v>4</v>
      </c>
      <c r="D5" s="891"/>
    </row>
    <row r="6" spans="1:4" s="6" customFormat="1" ht="15" customHeight="1">
      <c r="A6" s="5" t="s">
        <v>55</v>
      </c>
      <c r="B6" s="509" t="s">
        <v>154</v>
      </c>
      <c r="C6" s="1161">
        <v>22</v>
      </c>
      <c r="D6" s="891"/>
    </row>
    <row r="7" spans="1:4" s="6" customFormat="1" ht="14.25" customHeight="1">
      <c r="A7" s="5" t="s">
        <v>141</v>
      </c>
      <c r="B7" s="509" t="s">
        <v>155</v>
      </c>
      <c r="C7" s="1161">
        <v>0</v>
      </c>
      <c r="D7" s="891"/>
    </row>
    <row r="8" spans="1:4" s="6" customFormat="1" ht="15" customHeight="1">
      <c r="A8" s="5" t="s">
        <v>143</v>
      </c>
      <c r="B8" s="509" t="s">
        <v>156</v>
      </c>
      <c r="C8" s="1161">
        <v>0</v>
      </c>
      <c r="D8" s="891"/>
    </row>
    <row r="9" spans="1:4" s="6" customFormat="1" ht="15" customHeight="1">
      <c r="A9" s="5" t="s">
        <v>145</v>
      </c>
      <c r="B9" s="509" t="s">
        <v>157</v>
      </c>
      <c r="C9" s="1161">
        <v>0</v>
      </c>
      <c r="D9" s="891"/>
    </row>
    <row r="10" spans="1:4" s="6" customFormat="1" ht="14.25" customHeight="1">
      <c r="A10" s="5" t="s">
        <v>147</v>
      </c>
      <c r="B10" s="509" t="s">
        <v>158</v>
      </c>
      <c r="C10" s="1161">
        <v>0</v>
      </c>
      <c r="D10" s="891"/>
    </row>
    <row r="11" spans="1:4" s="6" customFormat="1" ht="14.25" customHeight="1">
      <c r="A11" s="5" t="s">
        <v>149</v>
      </c>
      <c r="B11" s="509" t="s">
        <v>160</v>
      </c>
      <c r="C11" s="1162"/>
      <c r="D11" s="891"/>
    </row>
    <row r="12" spans="1:4" s="32" customFormat="1" ht="15" customHeight="1">
      <c r="A12" s="855" t="s">
        <v>53</v>
      </c>
      <c r="B12" s="856" t="s">
        <v>563</v>
      </c>
      <c r="C12" s="994">
        <f>'01'!C22</f>
        <v>5</v>
      </c>
      <c r="D12" s="889">
        <f>C14+C13-C12</f>
        <v>0</v>
      </c>
    </row>
    <row r="13" spans="1:4" s="6" customFormat="1" ht="15" customHeight="1">
      <c r="A13" s="5" t="s">
        <v>56</v>
      </c>
      <c r="B13" s="509" t="s">
        <v>159</v>
      </c>
      <c r="C13" s="1161">
        <v>5</v>
      </c>
      <c r="D13" s="891"/>
    </row>
    <row r="14" spans="1:4" ht="15" customHeight="1">
      <c r="A14" s="5" t="s">
        <v>57</v>
      </c>
      <c r="B14" s="509" t="s">
        <v>160</v>
      </c>
      <c r="C14" s="1161">
        <v>0</v>
      </c>
      <c r="D14" s="890"/>
    </row>
    <row r="15" spans="1:4" ht="15" customHeight="1">
      <c r="A15" s="855" t="s">
        <v>58</v>
      </c>
      <c r="B15" s="856" t="s">
        <v>150</v>
      </c>
      <c r="C15" s="994">
        <f>'01'!C24</f>
        <v>129</v>
      </c>
      <c r="D15" s="890">
        <f>C18+C17+C16-C15</f>
        <v>0</v>
      </c>
    </row>
    <row r="16" spans="1:4" ht="15" customHeight="1">
      <c r="A16" s="5" t="s">
        <v>161</v>
      </c>
      <c r="B16" s="508" t="s">
        <v>162</v>
      </c>
      <c r="C16" s="1161">
        <f>87+6+7+0</f>
        <v>100</v>
      </c>
      <c r="D16" s="890"/>
    </row>
    <row r="17" spans="1:4" s="6" customFormat="1" ht="16.5" customHeight="1">
      <c r="A17" s="5" t="s">
        <v>163</v>
      </c>
      <c r="B17" s="509" t="s">
        <v>164</v>
      </c>
      <c r="C17" s="1161">
        <v>20</v>
      </c>
      <c r="D17" s="891"/>
    </row>
    <row r="18" spans="1:4" s="6" customFormat="1" ht="15" customHeight="1">
      <c r="A18" s="5" t="s">
        <v>165</v>
      </c>
      <c r="B18" s="509" t="s">
        <v>166</v>
      </c>
      <c r="C18" s="1161">
        <v>9</v>
      </c>
      <c r="D18" s="891"/>
    </row>
    <row r="19" spans="1:4" s="6" customFormat="1" ht="15" customHeight="1">
      <c r="A19" s="855" t="s">
        <v>73</v>
      </c>
      <c r="B19" s="856" t="s">
        <v>562</v>
      </c>
      <c r="C19" s="994">
        <f>'01'!C19</f>
        <v>61</v>
      </c>
      <c r="D19" s="891">
        <f>C25+C24+C23+C22+C21+C20-C19</f>
        <v>0</v>
      </c>
    </row>
    <row r="20" spans="1:4" s="6" customFormat="1" ht="14.25" customHeight="1">
      <c r="A20" s="5" t="s">
        <v>167</v>
      </c>
      <c r="B20" s="509" t="s">
        <v>168</v>
      </c>
      <c r="C20" s="1161">
        <v>4</v>
      </c>
      <c r="D20" s="891"/>
    </row>
    <row r="21" spans="1:4" s="6" customFormat="1" ht="14.25" customHeight="1">
      <c r="A21" s="5" t="s">
        <v>169</v>
      </c>
      <c r="B21" s="509" t="s">
        <v>170</v>
      </c>
      <c r="C21" s="1161">
        <v>0</v>
      </c>
      <c r="D21" s="891"/>
    </row>
    <row r="22" spans="1:4" s="6" customFormat="1" ht="14.25" customHeight="1">
      <c r="A22" s="5" t="s">
        <v>171</v>
      </c>
      <c r="B22" s="509" t="s">
        <v>172</v>
      </c>
      <c r="C22" s="1161">
        <v>8</v>
      </c>
      <c r="D22" s="891"/>
    </row>
    <row r="23" spans="1:4" s="6" customFormat="1" ht="15.75" customHeight="1">
      <c r="A23" s="5" t="s">
        <v>173</v>
      </c>
      <c r="B23" s="509" t="s">
        <v>156</v>
      </c>
      <c r="C23" s="1161">
        <v>0</v>
      </c>
      <c r="D23" s="891"/>
    </row>
    <row r="24" spans="1:4" s="6" customFormat="1" ht="15.75" customHeight="1">
      <c r="A24" s="5" t="s">
        <v>174</v>
      </c>
      <c r="B24" s="509" t="s">
        <v>157</v>
      </c>
      <c r="C24" s="1161">
        <v>36</v>
      </c>
      <c r="D24" s="891"/>
    </row>
    <row r="25" spans="1:4" s="6" customFormat="1" ht="15" customHeight="1">
      <c r="A25" s="5" t="s">
        <v>175</v>
      </c>
      <c r="B25" s="509" t="s">
        <v>176</v>
      </c>
      <c r="C25" s="1161">
        <v>13</v>
      </c>
      <c r="D25" s="891"/>
    </row>
    <row r="26" spans="1:4" s="6" customFormat="1" ht="15" customHeight="1">
      <c r="A26" s="855" t="s">
        <v>74</v>
      </c>
      <c r="B26" s="856" t="s">
        <v>561</v>
      </c>
      <c r="C26" s="994">
        <f>'01'!C25</f>
        <v>1445</v>
      </c>
      <c r="D26" s="891">
        <f>C29+C28+C27-C26</f>
        <v>0</v>
      </c>
    </row>
    <row r="27" spans="1:6" s="6" customFormat="1" ht="12" customHeight="1">
      <c r="A27" s="5" t="s">
        <v>177</v>
      </c>
      <c r="B27" s="509" t="s">
        <v>168</v>
      </c>
      <c r="C27" s="1161">
        <f>270+50+236+197+72+100+61+163+57+113+18</f>
        <v>1337</v>
      </c>
      <c r="D27" s="891"/>
      <c r="E27" s="891"/>
      <c r="F27" s="891"/>
    </row>
    <row r="28" spans="1:6" ht="13.5" customHeight="1">
      <c r="A28" s="5" t="s">
        <v>178</v>
      </c>
      <c r="B28" s="509" t="s">
        <v>170</v>
      </c>
      <c r="C28" s="1161">
        <f>37+3+0</f>
        <v>40</v>
      </c>
      <c r="D28" s="890"/>
      <c r="E28" s="1160"/>
      <c r="F28" s="890"/>
    </row>
    <row r="29" spans="1:6" s="6" customFormat="1" ht="14.25" customHeight="1" thickBot="1">
      <c r="A29" s="853" t="s">
        <v>179</v>
      </c>
      <c r="B29" s="854" t="s">
        <v>180</v>
      </c>
      <c r="C29" s="1163">
        <v>68</v>
      </c>
      <c r="D29" s="891"/>
      <c r="E29" s="891"/>
      <c r="F29" s="891"/>
    </row>
    <row r="30" spans="1:6" ht="19.5" customHeight="1" thickTop="1">
      <c r="A30" s="35"/>
      <c r="B30" s="970"/>
      <c r="C30" s="971" t="str">
        <f>'Thong tin'!B9</f>
        <v>Bình Thuận, ngày 04 tháng 8 năm 2016</v>
      </c>
      <c r="E30" s="890"/>
      <c r="F30" s="890"/>
    </row>
    <row r="31" spans="1:6" ht="17.25" customHeight="1">
      <c r="A31" s="35"/>
      <c r="B31" s="980" t="s">
        <v>4</v>
      </c>
      <c r="C31" s="972" t="str">
        <f>'Thong tin'!B7</f>
        <v>KT. CỤC TRƯỞNG</v>
      </c>
      <c r="E31" s="890"/>
      <c r="F31" s="890"/>
    </row>
    <row r="32" spans="2:3" s="36" customFormat="1" ht="16.5">
      <c r="B32" s="973"/>
      <c r="C32" s="974" t="str">
        <f>'Thong tin'!B8</f>
        <v>PHÓ CỤC TRƯỞNG</v>
      </c>
    </row>
    <row r="33" spans="2:3" ht="15.75" customHeight="1">
      <c r="B33" s="975"/>
      <c r="C33" s="976"/>
    </row>
    <row r="34" spans="2:3" ht="15.75" customHeight="1">
      <c r="B34" s="975"/>
      <c r="C34" s="977"/>
    </row>
    <row r="35" spans="2:3" ht="15.75" customHeight="1">
      <c r="B35" s="975"/>
      <c r="C35" s="976"/>
    </row>
    <row r="36" spans="2:3" ht="16.5">
      <c r="B36" s="978" t="str">
        <f>'Thong tin'!B5</f>
        <v>Trần Quốc Bảo</v>
      </c>
      <c r="C36" s="979" t="str">
        <f>'Thong tin'!B6</f>
        <v>Trần Nam</v>
      </c>
    </row>
    <row r="37" spans="2:3" ht="18.75">
      <c r="B37" s="405"/>
      <c r="C37" s="405"/>
    </row>
    <row r="38" spans="2:3" ht="18.75">
      <c r="B38" s="405"/>
      <c r="C38" s="405"/>
    </row>
    <row r="39" spans="2:3" ht="18.75" hidden="1">
      <c r="B39" s="405"/>
      <c r="C39" s="405"/>
    </row>
    <row r="40" ht="15.75" customHeight="1" hidden="1"/>
    <row r="41" ht="15.75" hidden="1"/>
    <row r="42" ht="15.75" hidden="1"/>
    <row r="43" spans="1:3" ht="16.5" customHeight="1" hidden="1">
      <c r="A43" s="1502" t="s">
        <v>182</v>
      </c>
      <c r="B43" s="1503"/>
      <c r="C43" s="1503"/>
    </row>
    <row r="44" spans="1:3" ht="18.75" hidden="1">
      <c r="A44" s="1500" t="s">
        <v>70</v>
      </c>
      <c r="B44" s="1501"/>
      <c r="C44" s="387" t="s">
        <v>340</v>
      </c>
    </row>
    <row r="45" spans="1:3" ht="15.75" hidden="1">
      <c r="A45" s="1504" t="s">
        <v>6</v>
      </c>
      <c r="B45" s="1505"/>
      <c r="C45" s="399">
        <v>1</v>
      </c>
    </row>
    <row r="46" spans="1:3" ht="19.5" customHeight="1" hidden="1">
      <c r="A46" s="397" t="s">
        <v>52</v>
      </c>
      <c r="B46" s="398" t="s">
        <v>347</v>
      </c>
      <c r="C46" s="400">
        <f>SUM(C47:C52)</f>
        <v>0</v>
      </c>
    </row>
    <row r="47" spans="1:3" ht="19.5" customHeight="1" hidden="1">
      <c r="A47" s="5" t="s">
        <v>54</v>
      </c>
      <c r="B47" s="34" t="s">
        <v>153</v>
      </c>
      <c r="C47" s="401"/>
    </row>
    <row r="48" spans="1:3" ht="19.5" customHeight="1" hidden="1">
      <c r="A48" s="5" t="s">
        <v>55</v>
      </c>
      <c r="B48" s="34" t="s">
        <v>154</v>
      </c>
      <c r="C48" s="401"/>
    </row>
    <row r="49" spans="1:3" ht="19.5" customHeight="1" hidden="1">
      <c r="A49" s="5" t="s">
        <v>141</v>
      </c>
      <c r="B49" s="34" t="s">
        <v>155</v>
      </c>
      <c r="C49" s="401"/>
    </row>
    <row r="50" spans="1:3" ht="19.5" customHeight="1" hidden="1">
      <c r="A50" s="5" t="s">
        <v>143</v>
      </c>
      <c r="B50" s="34" t="s">
        <v>156</v>
      </c>
      <c r="C50" s="401"/>
    </row>
    <row r="51" spans="1:3" ht="19.5" customHeight="1" hidden="1">
      <c r="A51" s="5" t="s">
        <v>145</v>
      </c>
      <c r="B51" s="34" t="s">
        <v>157</v>
      </c>
      <c r="C51" s="401"/>
    </row>
    <row r="52" spans="1:3" ht="19.5" customHeight="1" hidden="1">
      <c r="A52" s="5" t="s">
        <v>147</v>
      </c>
      <c r="B52" s="34" t="s">
        <v>158</v>
      </c>
      <c r="C52" s="401"/>
    </row>
    <row r="53" spans="1:3" ht="19.5" customHeight="1" hidden="1">
      <c r="A53" s="397" t="s">
        <v>53</v>
      </c>
      <c r="B53" s="398" t="s">
        <v>345</v>
      </c>
      <c r="C53" s="400">
        <f>SUM(C54:C55)</f>
        <v>0</v>
      </c>
    </row>
    <row r="54" spans="1:3" ht="19.5" customHeight="1" hidden="1">
      <c r="A54" s="5" t="s">
        <v>56</v>
      </c>
      <c r="B54" s="34" t="s">
        <v>159</v>
      </c>
      <c r="C54" s="401"/>
    </row>
    <row r="55" spans="1:3" ht="19.5" customHeight="1" hidden="1">
      <c r="A55" s="5" t="s">
        <v>57</v>
      </c>
      <c r="B55" s="34" t="s">
        <v>160</v>
      </c>
      <c r="C55" s="401"/>
    </row>
    <row r="56" spans="1:3" ht="19.5" customHeight="1" hidden="1">
      <c r="A56" s="397" t="s">
        <v>58</v>
      </c>
      <c r="B56" s="398" t="s">
        <v>150</v>
      </c>
      <c r="C56" s="400">
        <f>SUM(C57:C59)</f>
        <v>0</v>
      </c>
    </row>
    <row r="57" spans="1:3" ht="19.5" customHeight="1" hidden="1">
      <c r="A57" s="5" t="s">
        <v>161</v>
      </c>
      <c r="B57" s="37" t="s">
        <v>162</v>
      </c>
      <c r="C57" s="401"/>
    </row>
    <row r="58" spans="1:3" ht="19.5" customHeight="1" hidden="1">
      <c r="A58" s="5" t="s">
        <v>163</v>
      </c>
      <c r="B58" s="34" t="s">
        <v>164</v>
      </c>
      <c r="C58" s="401"/>
    </row>
    <row r="59" spans="1:3" ht="19.5" customHeight="1" hidden="1">
      <c r="A59" s="5" t="s">
        <v>165</v>
      </c>
      <c r="B59" s="34" t="s">
        <v>166</v>
      </c>
      <c r="C59" s="401"/>
    </row>
    <row r="60" spans="1:3" ht="19.5" customHeight="1" hidden="1">
      <c r="A60" s="397" t="s">
        <v>73</v>
      </c>
      <c r="B60" s="398" t="s">
        <v>346</v>
      </c>
      <c r="C60" s="400">
        <f>SUM(C61:C66)</f>
        <v>0</v>
      </c>
    </row>
    <row r="61" spans="1:3" ht="19.5" customHeight="1" hidden="1">
      <c r="A61" s="5" t="s">
        <v>167</v>
      </c>
      <c r="B61" s="34" t="s">
        <v>168</v>
      </c>
      <c r="C61" s="401"/>
    </row>
    <row r="62" spans="1:3" ht="19.5" customHeight="1" hidden="1">
      <c r="A62" s="5" t="s">
        <v>169</v>
      </c>
      <c r="B62" s="34" t="s">
        <v>170</v>
      </c>
      <c r="C62" s="401"/>
    </row>
    <row r="63" spans="1:3" ht="19.5" customHeight="1" hidden="1">
      <c r="A63" s="5" t="s">
        <v>171</v>
      </c>
      <c r="B63" s="34" t="s">
        <v>172</v>
      </c>
      <c r="C63" s="401"/>
    </row>
    <row r="64" spans="1:3" ht="19.5" customHeight="1" hidden="1">
      <c r="A64" s="5" t="s">
        <v>173</v>
      </c>
      <c r="B64" s="34" t="s">
        <v>156</v>
      </c>
      <c r="C64" s="401"/>
    </row>
    <row r="65" spans="1:3" ht="19.5" customHeight="1" hidden="1">
      <c r="A65" s="5" t="s">
        <v>174</v>
      </c>
      <c r="B65" s="34" t="s">
        <v>157</v>
      </c>
      <c r="C65" s="401"/>
    </row>
    <row r="66" spans="1:3" ht="19.5" customHeight="1" hidden="1">
      <c r="A66" s="5" t="s">
        <v>175</v>
      </c>
      <c r="B66" s="34" t="s">
        <v>176</v>
      </c>
      <c r="C66" s="401"/>
    </row>
    <row r="67" spans="1:3" ht="19.5" customHeight="1" hidden="1">
      <c r="A67" s="397" t="s">
        <v>74</v>
      </c>
      <c r="B67" s="398" t="s">
        <v>348</v>
      </c>
      <c r="C67" s="400">
        <f>SUM(C68:C70)</f>
        <v>25</v>
      </c>
    </row>
    <row r="68" spans="1:3" ht="19.5" customHeight="1" hidden="1">
      <c r="A68" s="5" t="s">
        <v>177</v>
      </c>
      <c r="B68" s="34" t="s">
        <v>168</v>
      </c>
      <c r="C68" s="401">
        <v>25</v>
      </c>
    </row>
    <row r="69" spans="1:3" ht="19.5" customHeight="1" hidden="1">
      <c r="A69" s="5" t="s">
        <v>178</v>
      </c>
      <c r="B69" s="34" t="s">
        <v>170</v>
      </c>
      <c r="C69" s="401">
        <v>0</v>
      </c>
    </row>
    <row r="70" spans="1:3" ht="19.5" customHeight="1" hidden="1">
      <c r="A70" s="5" t="s">
        <v>179</v>
      </c>
      <c r="B70" s="34" t="s">
        <v>180</v>
      </c>
      <c r="C70" s="401">
        <v>0</v>
      </c>
    </row>
    <row r="71" ht="15.75" hidden="1"/>
    <row r="72" ht="15.75" hidden="1"/>
    <row r="73" ht="15.75" hidden="1"/>
    <row r="74" ht="15.75" hidden="1"/>
    <row r="75" ht="15.75" hidden="1"/>
    <row r="76" ht="15.75" hidden="1"/>
    <row r="77" ht="15.75" hidden="1"/>
    <row r="78" ht="15.75" customHeight="1" hidden="1"/>
    <row r="79" ht="15.75" hidden="1"/>
    <row r="80" ht="15.75" hidden="1"/>
    <row r="81" spans="1:3" ht="16.5" customHeight="1" hidden="1">
      <c r="A81" s="1502" t="s">
        <v>182</v>
      </c>
      <c r="B81" s="1503"/>
      <c r="C81" s="1503"/>
    </row>
    <row r="82" spans="1:3" ht="18.75" hidden="1">
      <c r="A82" s="1500" t="s">
        <v>70</v>
      </c>
      <c r="B82" s="1501"/>
      <c r="C82" s="387" t="s">
        <v>340</v>
      </c>
    </row>
    <row r="83" spans="1:3" ht="24.75" customHeight="1" hidden="1">
      <c r="A83" s="1504" t="s">
        <v>6</v>
      </c>
      <c r="B83" s="1505"/>
      <c r="C83" s="399">
        <v>1</v>
      </c>
    </row>
    <row r="84" spans="1:3" ht="24.75" customHeight="1" hidden="1">
      <c r="A84" s="397" t="s">
        <v>52</v>
      </c>
      <c r="B84" s="398" t="s">
        <v>347</v>
      </c>
      <c r="C84" s="400">
        <f>SUM(C85:C90)</f>
        <v>2</v>
      </c>
    </row>
    <row r="85" spans="1:3" ht="24.75" customHeight="1" hidden="1">
      <c r="A85" s="5" t="s">
        <v>54</v>
      </c>
      <c r="B85" s="34" t="s">
        <v>153</v>
      </c>
      <c r="C85" s="401"/>
    </row>
    <row r="86" spans="1:3" ht="24.75" customHeight="1" hidden="1">
      <c r="A86" s="5" t="s">
        <v>55</v>
      </c>
      <c r="B86" s="34" t="s">
        <v>154</v>
      </c>
      <c r="C86" s="401"/>
    </row>
    <row r="87" spans="1:3" ht="24.75" customHeight="1" hidden="1">
      <c r="A87" s="5" t="s">
        <v>141</v>
      </c>
      <c r="B87" s="34" t="s">
        <v>155</v>
      </c>
      <c r="C87" s="401">
        <v>2</v>
      </c>
    </row>
    <row r="88" spans="1:3" ht="24.75" customHeight="1" hidden="1">
      <c r="A88" s="5" t="s">
        <v>143</v>
      </c>
      <c r="B88" s="34" t="s">
        <v>156</v>
      </c>
      <c r="C88" s="401"/>
    </row>
    <row r="89" spans="1:3" ht="24.75" customHeight="1" hidden="1">
      <c r="A89" s="5" t="s">
        <v>145</v>
      </c>
      <c r="B89" s="34" t="s">
        <v>157</v>
      </c>
      <c r="C89" s="401"/>
    </row>
    <row r="90" spans="1:3" ht="24.75" customHeight="1" hidden="1">
      <c r="A90" s="5" t="s">
        <v>147</v>
      </c>
      <c r="B90" s="34" t="s">
        <v>158</v>
      </c>
      <c r="C90" s="401"/>
    </row>
    <row r="91" spans="1:3" ht="24.75" customHeight="1" hidden="1">
      <c r="A91" s="397" t="s">
        <v>53</v>
      </c>
      <c r="B91" s="398" t="s">
        <v>345</v>
      </c>
      <c r="C91" s="400">
        <f>SUM(C92:C93)</f>
        <v>0</v>
      </c>
    </row>
    <row r="92" spans="1:3" ht="24.75" customHeight="1" hidden="1">
      <c r="A92" s="5" t="s">
        <v>56</v>
      </c>
      <c r="B92" s="34" t="s">
        <v>159</v>
      </c>
      <c r="C92" s="401"/>
    </row>
    <row r="93" spans="1:3" ht="24.75" customHeight="1" hidden="1">
      <c r="A93" s="5" t="s">
        <v>57</v>
      </c>
      <c r="B93" s="34" t="s">
        <v>160</v>
      </c>
      <c r="C93" s="401"/>
    </row>
    <row r="94" spans="1:3" ht="24.75" customHeight="1" hidden="1">
      <c r="A94" s="397" t="s">
        <v>58</v>
      </c>
      <c r="B94" s="398" t="s">
        <v>150</v>
      </c>
      <c r="C94" s="400">
        <f>SUM(C95:C97)</f>
        <v>0</v>
      </c>
    </row>
    <row r="95" spans="1:3" ht="24.75" customHeight="1" hidden="1">
      <c r="A95" s="5" t="s">
        <v>161</v>
      </c>
      <c r="B95" s="37" t="s">
        <v>162</v>
      </c>
      <c r="C95" s="401"/>
    </row>
    <row r="96" spans="1:3" ht="24.75" customHeight="1" hidden="1">
      <c r="A96" s="5" t="s">
        <v>163</v>
      </c>
      <c r="B96" s="34" t="s">
        <v>164</v>
      </c>
      <c r="C96" s="401"/>
    </row>
    <row r="97" spans="1:3" ht="24.75" customHeight="1" hidden="1">
      <c r="A97" s="5" t="s">
        <v>165</v>
      </c>
      <c r="B97" s="34" t="s">
        <v>166</v>
      </c>
      <c r="C97" s="401"/>
    </row>
    <row r="98" spans="1:3" ht="24.75" customHeight="1" hidden="1">
      <c r="A98" s="397" t="s">
        <v>73</v>
      </c>
      <c r="B98" s="398" t="s">
        <v>346</v>
      </c>
      <c r="C98" s="400">
        <f>SUM(C99:C104)</f>
        <v>0</v>
      </c>
    </row>
    <row r="99" spans="1:3" ht="24.75" customHeight="1" hidden="1">
      <c r="A99" s="5" t="s">
        <v>167</v>
      </c>
      <c r="B99" s="34" t="s">
        <v>168</v>
      </c>
      <c r="C99" s="401"/>
    </row>
    <row r="100" spans="1:3" ht="24.75" customHeight="1" hidden="1">
      <c r="A100" s="5" t="s">
        <v>169</v>
      </c>
      <c r="B100" s="34" t="s">
        <v>170</v>
      </c>
      <c r="C100" s="401"/>
    </row>
    <row r="101" spans="1:3" ht="24.75" customHeight="1" hidden="1">
      <c r="A101" s="5" t="s">
        <v>171</v>
      </c>
      <c r="B101" s="34" t="s">
        <v>172</v>
      </c>
      <c r="C101" s="401"/>
    </row>
    <row r="102" spans="1:3" ht="24.75" customHeight="1" hidden="1">
      <c r="A102" s="5" t="s">
        <v>173</v>
      </c>
      <c r="B102" s="34" t="s">
        <v>156</v>
      </c>
      <c r="C102" s="401"/>
    </row>
    <row r="103" spans="1:3" ht="24.75" customHeight="1" hidden="1">
      <c r="A103" s="5" t="s">
        <v>174</v>
      </c>
      <c r="B103" s="34" t="s">
        <v>157</v>
      </c>
      <c r="C103" s="401"/>
    </row>
    <row r="104" spans="1:3" ht="24.75" customHeight="1" hidden="1">
      <c r="A104" s="5" t="s">
        <v>175</v>
      </c>
      <c r="B104" s="34" t="s">
        <v>176</v>
      </c>
      <c r="C104" s="401"/>
    </row>
    <row r="105" spans="1:3" ht="24.75" customHeight="1" hidden="1">
      <c r="A105" s="397" t="s">
        <v>74</v>
      </c>
      <c r="B105" s="398" t="s">
        <v>348</v>
      </c>
      <c r="C105" s="400">
        <f>SUM(C106:C108)</f>
        <v>46</v>
      </c>
    </row>
    <row r="106" spans="1:3" ht="24.75" customHeight="1" hidden="1">
      <c r="A106" s="5" t="s">
        <v>177</v>
      </c>
      <c r="B106" s="34" t="s">
        <v>168</v>
      </c>
      <c r="C106" s="401">
        <v>43</v>
      </c>
    </row>
    <row r="107" spans="1:3" ht="24.75" customHeight="1" hidden="1">
      <c r="A107" s="5" t="s">
        <v>178</v>
      </c>
      <c r="B107" s="34" t="s">
        <v>170</v>
      </c>
      <c r="C107" s="401"/>
    </row>
    <row r="108" spans="1:3" ht="24.75" customHeight="1" hidden="1">
      <c r="A108" s="5" t="s">
        <v>179</v>
      </c>
      <c r="B108" s="34" t="s">
        <v>180</v>
      </c>
      <c r="C108" s="401">
        <v>3</v>
      </c>
    </row>
    <row r="109" ht="15.75" hidden="1"/>
    <row r="110" ht="15.75" hidden="1"/>
    <row r="111" ht="15.75" hidden="1"/>
    <row r="112" ht="15.75" hidden="1"/>
    <row r="113" ht="15.75" hidden="1"/>
    <row r="114" ht="15.75" hidden="1"/>
    <row r="115" ht="15.75" hidden="1"/>
    <row r="116" ht="15.75" customHeight="1" hidden="1"/>
    <row r="117" ht="15.75" hidden="1"/>
    <row r="118" ht="15.75" hidden="1"/>
    <row r="119" spans="1:3" ht="16.5" customHeight="1" hidden="1">
      <c r="A119" s="1502" t="s">
        <v>182</v>
      </c>
      <c r="B119" s="1503"/>
      <c r="C119" s="1503"/>
    </row>
    <row r="120" spans="1:3" ht="18.75" hidden="1">
      <c r="A120" s="1500" t="s">
        <v>70</v>
      </c>
      <c r="B120" s="1501"/>
      <c r="C120" s="387" t="s">
        <v>340</v>
      </c>
    </row>
    <row r="121" spans="1:3" ht="15.75" hidden="1">
      <c r="A121" s="1504" t="s">
        <v>6</v>
      </c>
      <c r="B121" s="1505"/>
      <c r="C121" s="399">
        <v>1</v>
      </c>
    </row>
    <row r="122" spans="1:3" ht="24.75" customHeight="1" hidden="1">
      <c r="A122" s="397" t="s">
        <v>52</v>
      </c>
      <c r="B122" s="398" t="s">
        <v>347</v>
      </c>
      <c r="C122" s="400">
        <f>SUM(C123:C128)</f>
        <v>0</v>
      </c>
    </row>
    <row r="123" spans="1:3" ht="24.75" customHeight="1" hidden="1">
      <c r="A123" s="5" t="s">
        <v>54</v>
      </c>
      <c r="B123" s="34" t="s">
        <v>153</v>
      </c>
      <c r="C123" s="401"/>
    </row>
    <row r="124" spans="1:3" ht="24.75" customHeight="1" hidden="1">
      <c r="A124" s="5" t="s">
        <v>55</v>
      </c>
      <c r="B124" s="34" t="s">
        <v>154</v>
      </c>
      <c r="C124" s="401"/>
    </row>
    <row r="125" spans="1:3" ht="24.75" customHeight="1" hidden="1">
      <c r="A125" s="5" t="s">
        <v>141</v>
      </c>
      <c r="B125" s="34" t="s">
        <v>155</v>
      </c>
      <c r="C125" s="401"/>
    </row>
    <row r="126" spans="1:3" ht="24.75" customHeight="1" hidden="1">
      <c r="A126" s="5" t="s">
        <v>143</v>
      </c>
      <c r="B126" s="34" t="s">
        <v>156</v>
      </c>
      <c r="C126" s="401"/>
    </row>
    <row r="127" spans="1:3" ht="24.75" customHeight="1" hidden="1">
      <c r="A127" s="5" t="s">
        <v>145</v>
      </c>
      <c r="B127" s="34" t="s">
        <v>157</v>
      </c>
      <c r="C127" s="401"/>
    </row>
    <row r="128" spans="1:3" ht="24.75" customHeight="1" hidden="1">
      <c r="A128" s="5" t="s">
        <v>147</v>
      </c>
      <c r="B128" s="34" t="s">
        <v>158</v>
      </c>
      <c r="C128" s="401"/>
    </row>
    <row r="129" spans="1:3" ht="24.75" customHeight="1" hidden="1">
      <c r="A129" s="397" t="s">
        <v>53</v>
      </c>
      <c r="B129" s="398" t="s">
        <v>345</v>
      </c>
      <c r="C129" s="400">
        <f>SUM(C130:C131)</f>
        <v>0</v>
      </c>
    </row>
    <row r="130" spans="1:3" ht="24.75" customHeight="1" hidden="1">
      <c r="A130" s="5" t="s">
        <v>56</v>
      </c>
      <c r="B130" s="34" t="s">
        <v>159</v>
      </c>
      <c r="C130" s="401"/>
    </row>
    <row r="131" spans="1:3" ht="24.75" customHeight="1" hidden="1">
      <c r="A131" s="5" t="s">
        <v>57</v>
      </c>
      <c r="B131" s="34" t="s">
        <v>160</v>
      </c>
      <c r="C131" s="401"/>
    </row>
    <row r="132" spans="1:3" ht="24.75" customHeight="1" hidden="1">
      <c r="A132" s="397" t="s">
        <v>58</v>
      </c>
      <c r="B132" s="398" t="s">
        <v>150</v>
      </c>
      <c r="C132" s="400">
        <f>SUM(C133:C135)</f>
        <v>12</v>
      </c>
    </row>
    <row r="133" spans="1:3" ht="24.75" customHeight="1" hidden="1">
      <c r="A133" s="5" t="s">
        <v>161</v>
      </c>
      <c r="B133" s="37" t="s">
        <v>162</v>
      </c>
      <c r="C133" s="401">
        <v>12</v>
      </c>
    </row>
    <row r="134" spans="1:3" ht="24.75" customHeight="1" hidden="1">
      <c r="A134" s="5" t="s">
        <v>163</v>
      </c>
      <c r="B134" s="34" t="s">
        <v>164</v>
      </c>
      <c r="C134" s="401"/>
    </row>
    <row r="135" spans="1:3" ht="24.75" customHeight="1" hidden="1">
      <c r="A135" s="5" t="s">
        <v>165</v>
      </c>
      <c r="B135" s="34" t="s">
        <v>166</v>
      </c>
      <c r="C135" s="401"/>
    </row>
    <row r="136" spans="1:3" ht="24.75" customHeight="1" hidden="1">
      <c r="A136" s="397" t="s">
        <v>73</v>
      </c>
      <c r="B136" s="398" t="s">
        <v>346</v>
      </c>
      <c r="C136" s="400">
        <f>SUM(C137:C142)</f>
        <v>0</v>
      </c>
    </row>
    <row r="137" spans="1:3" ht="24.75" customHeight="1" hidden="1">
      <c r="A137" s="5" t="s">
        <v>167</v>
      </c>
      <c r="B137" s="34" t="s">
        <v>168</v>
      </c>
      <c r="C137" s="401"/>
    </row>
    <row r="138" spans="1:3" ht="24.75" customHeight="1" hidden="1">
      <c r="A138" s="5" t="s">
        <v>169</v>
      </c>
      <c r="B138" s="34" t="s">
        <v>170</v>
      </c>
      <c r="C138" s="401"/>
    </row>
    <row r="139" spans="1:3" ht="24.75" customHeight="1" hidden="1">
      <c r="A139" s="5" t="s">
        <v>171</v>
      </c>
      <c r="B139" s="34" t="s">
        <v>172</v>
      </c>
      <c r="C139" s="401"/>
    </row>
    <row r="140" spans="1:3" ht="24.75" customHeight="1" hidden="1">
      <c r="A140" s="5" t="s">
        <v>173</v>
      </c>
      <c r="B140" s="34" t="s">
        <v>156</v>
      </c>
      <c r="C140" s="401"/>
    </row>
    <row r="141" spans="1:3" ht="24.75" customHeight="1" hidden="1">
      <c r="A141" s="5" t="s">
        <v>174</v>
      </c>
      <c r="B141" s="34" t="s">
        <v>157</v>
      </c>
      <c r="C141" s="401"/>
    </row>
    <row r="142" spans="1:3" ht="24.75" customHeight="1" hidden="1">
      <c r="A142" s="5" t="s">
        <v>175</v>
      </c>
      <c r="B142" s="34" t="s">
        <v>176</v>
      </c>
      <c r="C142" s="401"/>
    </row>
    <row r="143" spans="1:3" ht="24.75" customHeight="1" hidden="1">
      <c r="A143" s="397" t="s">
        <v>74</v>
      </c>
      <c r="B143" s="398" t="s">
        <v>348</v>
      </c>
      <c r="C143" s="400">
        <f>SUM(C144:C146)</f>
        <v>19</v>
      </c>
    </row>
    <row r="144" spans="1:3" ht="24.75" customHeight="1" hidden="1">
      <c r="A144" s="5" t="s">
        <v>177</v>
      </c>
      <c r="B144" s="34" t="s">
        <v>168</v>
      </c>
      <c r="C144" s="401"/>
    </row>
    <row r="145" spans="1:3" ht="24.75" customHeight="1" hidden="1">
      <c r="A145" s="5" t="s">
        <v>178</v>
      </c>
      <c r="B145" s="34" t="s">
        <v>170</v>
      </c>
      <c r="C145" s="401"/>
    </row>
    <row r="146" spans="1:3" ht="24.75" customHeight="1" hidden="1">
      <c r="A146" s="5" t="s">
        <v>179</v>
      </c>
      <c r="B146" s="34" t="s">
        <v>180</v>
      </c>
      <c r="C146" s="401">
        <v>19</v>
      </c>
    </row>
    <row r="147" ht="15.75" hidden="1"/>
    <row r="148" ht="15.75" hidden="1"/>
    <row r="149" ht="15.75" hidden="1"/>
    <row r="150" ht="15.75" hidden="1"/>
    <row r="151" ht="15.75" hidden="1"/>
    <row r="152" ht="15.75" hidden="1"/>
    <row r="153" ht="15.75" hidden="1"/>
    <row r="154" ht="15.75" hidden="1"/>
    <row r="155" ht="15.75" hidden="1"/>
    <row r="156" ht="15.75" customHeight="1" hidden="1"/>
    <row r="157" ht="15.75" hidden="1"/>
    <row r="158" ht="15.75" hidden="1"/>
    <row r="159" spans="1:3" ht="16.5" customHeight="1" hidden="1">
      <c r="A159" s="1502" t="s">
        <v>182</v>
      </c>
      <c r="B159" s="1503"/>
      <c r="C159" s="1503"/>
    </row>
    <row r="160" spans="1:3" ht="18.75" hidden="1">
      <c r="A160" s="1500" t="s">
        <v>70</v>
      </c>
      <c r="B160" s="1501"/>
      <c r="C160" s="387" t="s">
        <v>340</v>
      </c>
    </row>
    <row r="161" spans="1:3" ht="15.75" hidden="1">
      <c r="A161" s="1504" t="s">
        <v>6</v>
      </c>
      <c r="B161" s="1505"/>
      <c r="C161" s="399">
        <v>1</v>
      </c>
    </row>
    <row r="162" spans="1:3" ht="24.75" customHeight="1" hidden="1">
      <c r="A162" s="397" t="s">
        <v>52</v>
      </c>
      <c r="B162" s="398" t="s">
        <v>347</v>
      </c>
      <c r="C162" s="400">
        <f>SUM(C163:C168)</f>
        <v>0</v>
      </c>
    </row>
    <row r="163" spans="1:3" ht="24.75" customHeight="1" hidden="1">
      <c r="A163" s="5" t="s">
        <v>54</v>
      </c>
      <c r="B163" s="34" t="s">
        <v>153</v>
      </c>
      <c r="C163" s="401"/>
    </row>
    <row r="164" spans="1:3" ht="24.75" customHeight="1" hidden="1">
      <c r="A164" s="5" t="s">
        <v>55</v>
      </c>
      <c r="B164" s="34" t="s">
        <v>154</v>
      </c>
      <c r="C164" s="401"/>
    </row>
    <row r="165" spans="1:3" ht="24.75" customHeight="1" hidden="1">
      <c r="A165" s="5" t="s">
        <v>141</v>
      </c>
      <c r="B165" s="34" t="s">
        <v>155</v>
      </c>
      <c r="C165" s="401"/>
    </row>
    <row r="166" spans="1:3" ht="24.75" customHeight="1" hidden="1">
      <c r="A166" s="5" t="s">
        <v>143</v>
      </c>
      <c r="B166" s="34" t="s">
        <v>156</v>
      </c>
      <c r="C166" s="401"/>
    </row>
    <row r="167" spans="1:3" ht="24.75" customHeight="1" hidden="1">
      <c r="A167" s="5" t="s">
        <v>145</v>
      </c>
      <c r="B167" s="34" t="s">
        <v>157</v>
      </c>
      <c r="C167" s="401"/>
    </row>
    <row r="168" spans="1:3" ht="24.75" customHeight="1" hidden="1">
      <c r="A168" s="5" t="s">
        <v>147</v>
      </c>
      <c r="B168" s="34" t="s">
        <v>158</v>
      </c>
      <c r="C168" s="401"/>
    </row>
    <row r="169" spans="1:3" ht="24.75" customHeight="1" hidden="1">
      <c r="A169" s="397" t="s">
        <v>53</v>
      </c>
      <c r="B169" s="398" t="s">
        <v>345</v>
      </c>
      <c r="C169" s="400">
        <f>SUM(C170:C171)</f>
        <v>0</v>
      </c>
    </row>
    <row r="170" spans="1:3" ht="24.75" customHeight="1" hidden="1">
      <c r="A170" s="5" t="s">
        <v>56</v>
      </c>
      <c r="B170" s="34" t="s">
        <v>159</v>
      </c>
      <c r="C170" s="401"/>
    </row>
    <row r="171" spans="1:3" ht="24.75" customHeight="1" hidden="1">
      <c r="A171" s="5" t="s">
        <v>57</v>
      </c>
      <c r="B171" s="34" t="s">
        <v>160</v>
      </c>
      <c r="C171" s="401"/>
    </row>
    <row r="172" spans="1:3" ht="24.75" customHeight="1" hidden="1">
      <c r="A172" s="397" t="s">
        <v>58</v>
      </c>
      <c r="B172" s="398" t="s">
        <v>150</v>
      </c>
      <c r="C172" s="400">
        <f>SUM(C173:C175)</f>
        <v>0</v>
      </c>
    </row>
    <row r="173" spans="1:3" ht="24.75" customHeight="1" hidden="1">
      <c r="A173" s="5" t="s">
        <v>161</v>
      </c>
      <c r="B173" s="37" t="s">
        <v>162</v>
      </c>
      <c r="C173" s="401"/>
    </row>
    <row r="174" spans="1:3" ht="24.75" customHeight="1" hidden="1">
      <c r="A174" s="5" t="s">
        <v>163</v>
      </c>
      <c r="B174" s="34" t="s">
        <v>164</v>
      </c>
      <c r="C174" s="401"/>
    </row>
    <row r="175" spans="1:3" ht="24.75" customHeight="1" hidden="1">
      <c r="A175" s="5" t="s">
        <v>165</v>
      </c>
      <c r="B175" s="34" t="s">
        <v>166</v>
      </c>
      <c r="C175" s="401"/>
    </row>
    <row r="176" spans="1:3" ht="24.75" customHeight="1" hidden="1">
      <c r="A176" s="397" t="s">
        <v>73</v>
      </c>
      <c r="B176" s="398" t="s">
        <v>346</v>
      </c>
      <c r="C176" s="400">
        <f>SUM(C177:C182)</f>
        <v>1</v>
      </c>
    </row>
    <row r="177" spans="1:3" ht="24.75" customHeight="1" hidden="1">
      <c r="A177" s="5" t="s">
        <v>167</v>
      </c>
      <c r="B177" s="34" t="s">
        <v>168</v>
      </c>
      <c r="C177" s="401">
        <v>1</v>
      </c>
    </row>
    <row r="178" spans="1:3" ht="24.75" customHeight="1" hidden="1">
      <c r="A178" s="5" t="s">
        <v>169</v>
      </c>
      <c r="B178" s="34" t="s">
        <v>170</v>
      </c>
      <c r="C178" s="401">
        <v>0</v>
      </c>
    </row>
    <row r="179" spans="1:3" ht="24.75" customHeight="1" hidden="1">
      <c r="A179" s="5" t="s">
        <v>171</v>
      </c>
      <c r="B179" s="34" t="s">
        <v>172</v>
      </c>
      <c r="C179" s="401">
        <v>0</v>
      </c>
    </row>
    <row r="180" spans="1:3" ht="24.75" customHeight="1" hidden="1">
      <c r="A180" s="5" t="s">
        <v>173</v>
      </c>
      <c r="B180" s="34" t="s">
        <v>156</v>
      </c>
      <c r="C180" s="401">
        <v>0</v>
      </c>
    </row>
    <row r="181" spans="1:3" ht="24.75" customHeight="1" hidden="1">
      <c r="A181" s="5" t="s">
        <v>174</v>
      </c>
      <c r="B181" s="34" t="s">
        <v>157</v>
      </c>
      <c r="C181" s="401">
        <v>0</v>
      </c>
    </row>
    <row r="182" spans="1:3" ht="24.75" customHeight="1" hidden="1">
      <c r="A182" s="5" t="s">
        <v>175</v>
      </c>
      <c r="B182" s="34" t="s">
        <v>176</v>
      </c>
      <c r="C182" s="401">
        <v>0</v>
      </c>
    </row>
    <row r="183" spans="1:3" ht="24.75" customHeight="1" hidden="1">
      <c r="A183" s="397" t="s">
        <v>74</v>
      </c>
      <c r="B183" s="398" t="s">
        <v>348</v>
      </c>
      <c r="C183" s="400">
        <f>SUM(C184:C186)</f>
        <v>74</v>
      </c>
    </row>
    <row r="184" spans="1:3" ht="24.75" customHeight="1" hidden="1">
      <c r="A184" s="5" t="s">
        <v>177</v>
      </c>
      <c r="B184" s="34" t="s">
        <v>168</v>
      </c>
      <c r="C184" s="401">
        <v>66</v>
      </c>
    </row>
    <row r="185" spans="1:3" ht="24.75" customHeight="1" hidden="1">
      <c r="A185" s="5" t="s">
        <v>178</v>
      </c>
      <c r="B185" s="34" t="s">
        <v>170</v>
      </c>
      <c r="C185" s="401">
        <v>0</v>
      </c>
    </row>
    <row r="186" spans="1:3" ht="24.75" customHeight="1" hidden="1">
      <c r="A186" s="5" t="s">
        <v>179</v>
      </c>
      <c r="B186" s="34" t="s">
        <v>180</v>
      </c>
      <c r="C186" s="401">
        <v>8</v>
      </c>
    </row>
    <row r="187" ht="15.75" hidden="1"/>
    <row r="188" ht="15.75" hidden="1"/>
    <row r="189" ht="15.75" hidden="1"/>
    <row r="190" ht="15.75" hidden="1"/>
    <row r="191" ht="15.75" hidden="1"/>
    <row r="192" ht="15.75" hidden="1"/>
    <row r="193" ht="15.75" hidden="1"/>
    <row r="194" ht="15.75" hidden="1"/>
    <row r="195" ht="15.75" customHeight="1" hidden="1"/>
    <row r="196" ht="15.75" hidden="1"/>
    <row r="197" ht="15.75" hidden="1"/>
    <row r="198" spans="1:3" ht="16.5" customHeight="1" hidden="1">
      <c r="A198" s="1502" t="s">
        <v>182</v>
      </c>
      <c r="B198" s="1503"/>
      <c r="C198" s="1503"/>
    </row>
    <row r="199" spans="1:3" ht="18.75" hidden="1">
      <c r="A199" s="1500" t="s">
        <v>70</v>
      </c>
      <c r="B199" s="1501"/>
      <c r="C199" s="387" t="s">
        <v>340</v>
      </c>
    </row>
    <row r="200" spans="1:3" ht="15.75" hidden="1">
      <c r="A200" s="1504" t="s">
        <v>6</v>
      </c>
      <c r="B200" s="1505"/>
      <c r="C200" s="399">
        <v>1</v>
      </c>
    </row>
    <row r="201" spans="1:3" ht="24.75" customHeight="1" hidden="1">
      <c r="A201" s="397" t="s">
        <v>52</v>
      </c>
      <c r="B201" s="398" t="s">
        <v>347</v>
      </c>
      <c r="C201" s="400">
        <f>SUM(C202:C207)</f>
        <v>0</v>
      </c>
    </row>
    <row r="202" spans="1:3" ht="24.75" customHeight="1" hidden="1">
      <c r="A202" s="5" t="s">
        <v>54</v>
      </c>
      <c r="B202" s="34" t="s">
        <v>153</v>
      </c>
      <c r="C202" s="401"/>
    </row>
    <row r="203" spans="1:3" ht="24.75" customHeight="1" hidden="1">
      <c r="A203" s="5" t="s">
        <v>55</v>
      </c>
      <c r="B203" s="34" t="s">
        <v>154</v>
      </c>
      <c r="C203" s="401"/>
    </row>
    <row r="204" spans="1:3" ht="24.75" customHeight="1" hidden="1">
      <c r="A204" s="5" t="s">
        <v>141</v>
      </c>
      <c r="B204" s="34" t="s">
        <v>155</v>
      </c>
      <c r="C204" s="401"/>
    </row>
    <row r="205" spans="1:3" ht="24.75" customHeight="1" hidden="1">
      <c r="A205" s="5" t="s">
        <v>143</v>
      </c>
      <c r="B205" s="34" t="s">
        <v>156</v>
      </c>
      <c r="C205" s="401"/>
    </row>
    <row r="206" spans="1:3" ht="24.75" customHeight="1" hidden="1">
      <c r="A206" s="5" t="s">
        <v>145</v>
      </c>
      <c r="B206" s="34" t="s">
        <v>157</v>
      </c>
      <c r="C206" s="401"/>
    </row>
    <row r="207" spans="1:3" ht="24.75" customHeight="1" hidden="1">
      <c r="A207" s="5" t="s">
        <v>147</v>
      </c>
      <c r="B207" s="34" t="s">
        <v>158</v>
      </c>
      <c r="C207" s="401"/>
    </row>
    <row r="208" spans="1:3" ht="24.75" customHeight="1" hidden="1">
      <c r="A208" s="397" t="s">
        <v>53</v>
      </c>
      <c r="B208" s="398" t="s">
        <v>345</v>
      </c>
      <c r="C208" s="400">
        <f>SUM(C209:C210)</f>
        <v>0</v>
      </c>
    </row>
    <row r="209" spans="1:3" ht="24.75" customHeight="1" hidden="1">
      <c r="A209" s="5" t="s">
        <v>56</v>
      </c>
      <c r="B209" s="34" t="s">
        <v>159</v>
      </c>
      <c r="C209" s="401"/>
    </row>
    <row r="210" spans="1:3" ht="24.75" customHeight="1" hidden="1">
      <c r="A210" s="5" t="s">
        <v>57</v>
      </c>
      <c r="B210" s="34" t="s">
        <v>160</v>
      </c>
      <c r="C210" s="401"/>
    </row>
    <row r="211" spans="1:3" ht="24.75" customHeight="1" hidden="1">
      <c r="A211" s="397" t="s">
        <v>58</v>
      </c>
      <c r="B211" s="398" t="s">
        <v>150</v>
      </c>
      <c r="C211" s="400">
        <f>SUM(C212:C214)</f>
        <v>0</v>
      </c>
    </row>
    <row r="212" spans="1:3" ht="24.75" customHeight="1" hidden="1">
      <c r="A212" s="5" t="s">
        <v>161</v>
      </c>
      <c r="B212" s="37" t="s">
        <v>162</v>
      </c>
      <c r="C212" s="401"/>
    </row>
    <row r="213" spans="1:3" ht="24.75" customHeight="1" hidden="1">
      <c r="A213" s="5" t="s">
        <v>163</v>
      </c>
      <c r="B213" s="34" t="s">
        <v>164</v>
      </c>
      <c r="C213" s="401"/>
    </row>
    <row r="214" spans="1:3" ht="24.75" customHeight="1" hidden="1">
      <c r="A214" s="5" t="s">
        <v>165</v>
      </c>
      <c r="B214" s="34" t="s">
        <v>166</v>
      </c>
      <c r="C214" s="401"/>
    </row>
    <row r="215" spans="1:3" ht="24.75" customHeight="1" hidden="1">
      <c r="A215" s="397" t="s">
        <v>73</v>
      </c>
      <c r="B215" s="398" t="s">
        <v>346</v>
      </c>
      <c r="C215" s="400">
        <f>SUM(C216:C221)</f>
        <v>0</v>
      </c>
    </row>
    <row r="216" spans="1:3" ht="24.75" customHeight="1" hidden="1">
      <c r="A216" s="5" t="s">
        <v>167</v>
      </c>
      <c r="B216" s="34" t="s">
        <v>168</v>
      </c>
      <c r="C216" s="401"/>
    </row>
    <row r="217" spans="1:3" ht="24.75" customHeight="1" hidden="1">
      <c r="A217" s="5" t="s">
        <v>169</v>
      </c>
      <c r="B217" s="34" t="s">
        <v>170</v>
      </c>
      <c r="C217" s="401"/>
    </row>
    <row r="218" spans="1:3" ht="24.75" customHeight="1" hidden="1">
      <c r="A218" s="5" t="s">
        <v>171</v>
      </c>
      <c r="B218" s="34" t="s">
        <v>172</v>
      </c>
      <c r="C218" s="401"/>
    </row>
    <row r="219" spans="1:3" ht="24.75" customHeight="1" hidden="1">
      <c r="A219" s="5" t="s">
        <v>173</v>
      </c>
      <c r="B219" s="34" t="s">
        <v>156</v>
      </c>
      <c r="C219" s="401"/>
    </row>
    <row r="220" spans="1:3" ht="24.75" customHeight="1" hidden="1">
      <c r="A220" s="5" t="s">
        <v>174</v>
      </c>
      <c r="B220" s="34" t="s">
        <v>157</v>
      </c>
      <c r="C220" s="401"/>
    </row>
    <row r="221" spans="1:3" ht="24.75" customHeight="1" hidden="1">
      <c r="A221" s="5" t="s">
        <v>175</v>
      </c>
      <c r="B221" s="34" t="s">
        <v>176</v>
      </c>
      <c r="C221" s="401"/>
    </row>
    <row r="222" spans="1:3" ht="24.75" customHeight="1" hidden="1">
      <c r="A222" s="397" t="s">
        <v>74</v>
      </c>
      <c r="B222" s="398" t="s">
        <v>348</v>
      </c>
      <c r="C222" s="400">
        <f>SUM(C223:C225)</f>
        <v>7</v>
      </c>
    </row>
    <row r="223" spans="1:3" ht="24.75" customHeight="1" hidden="1">
      <c r="A223" s="5" t="s">
        <v>177</v>
      </c>
      <c r="B223" s="34" t="s">
        <v>168</v>
      </c>
      <c r="C223" s="401">
        <v>7</v>
      </c>
    </row>
    <row r="224" spans="1:3" ht="24.75" customHeight="1" hidden="1">
      <c r="A224" s="5" t="s">
        <v>178</v>
      </c>
      <c r="B224" s="34" t="s">
        <v>170</v>
      </c>
      <c r="C224" s="401">
        <v>0</v>
      </c>
    </row>
    <row r="225" spans="1:3" ht="24.75" customHeight="1" hidden="1">
      <c r="A225" s="5" t="s">
        <v>179</v>
      </c>
      <c r="B225" s="34" t="s">
        <v>180</v>
      </c>
      <c r="C225" s="401">
        <v>0</v>
      </c>
    </row>
    <row r="226" ht="15.75" hidden="1"/>
    <row r="227" ht="15.75" hidden="1"/>
    <row r="228" ht="15.75" hidden="1"/>
    <row r="229" ht="15.75" hidden="1"/>
    <row r="230" ht="15.75" hidden="1"/>
    <row r="231" ht="15.75" hidden="1"/>
    <row r="232" ht="15.75" hidden="1"/>
    <row r="233" ht="15.75" customHeight="1" hidden="1"/>
    <row r="234" ht="15.75" hidden="1"/>
    <row r="235" ht="15.75" hidden="1"/>
    <row r="236" spans="1:3" ht="16.5" customHeight="1" hidden="1">
      <c r="A236" s="1502" t="s">
        <v>182</v>
      </c>
      <c r="B236" s="1503"/>
      <c r="C236" s="1503"/>
    </row>
    <row r="237" spans="1:3" ht="18.75" hidden="1">
      <c r="A237" s="1500" t="s">
        <v>70</v>
      </c>
      <c r="B237" s="1501"/>
      <c r="C237" s="387" t="s">
        <v>340</v>
      </c>
    </row>
    <row r="238" spans="1:3" ht="15.75" hidden="1">
      <c r="A238" s="1504" t="s">
        <v>6</v>
      </c>
      <c r="B238" s="1505"/>
      <c r="C238" s="399">
        <v>1</v>
      </c>
    </row>
    <row r="239" spans="1:3" ht="24.75" customHeight="1" hidden="1">
      <c r="A239" s="397" t="s">
        <v>52</v>
      </c>
      <c r="B239" s="398" t="s">
        <v>347</v>
      </c>
      <c r="C239" s="400">
        <f>SUM(C240:C245)</f>
        <v>0</v>
      </c>
    </row>
    <row r="240" spans="1:3" ht="24.75" customHeight="1" hidden="1">
      <c r="A240" s="5" t="s">
        <v>54</v>
      </c>
      <c r="B240" s="34" t="s">
        <v>153</v>
      </c>
      <c r="C240" s="401"/>
    </row>
    <row r="241" spans="1:3" ht="24.75" customHeight="1" hidden="1">
      <c r="A241" s="5" t="s">
        <v>55</v>
      </c>
      <c r="B241" s="34" t="s">
        <v>154</v>
      </c>
      <c r="C241" s="401"/>
    </row>
    <row r="242" spans="1:3" ht="24.75" customHeight="1" hidden="1">
      <c r="A242" s="5" t="s">
        <v>141</v>
      </c>
      <c r="B242" s="34" t="s">
        <v>155</v>
      </c>
      <c r="C242" s="401"/>
    </row>
    <row r="243" spans="1:3" ht="24.75" customHeight="1" hidden="1">
      <c r="A243" s="5" t="s">
        <v>143</v>
      </c>
      <c r="B243" s="34" t="s">
        <v>156</v>
      </c>
      <c r="C243" s="401"/>
    </row>
    <row r="244" spans="1:3" ht="24.75" customHeight="1" hidden="1">
      <c r="A244" s="5" t="s">
        <v>145</v>
      </c>
      <c r="B244" s="34" t="s">
        <v>157</v>
      </c>
      <c r="C244" s="401"/>
    </row>
    <row r="245" spans="1:3" ht="24.75" customHeight="1" hidden="1">
      <c r="A245" s="5" t="s">
        <v>147</v>
      </c>
      <c r="B245" s="34" t="s">
        <v>158</v>
      </c>
      <c r="C245" s="401"/>
    </row>
    <row r="246" spans="1:3" ht="24.75" customHeight="1" hidden="1">
      <c r="A246" s="397" t="s">
        <v>53</v>
      </c>
      <c r="B246" s="398" t="s">
        <v>345</v>
      </c>
      <c r="C246" s="400">
        <f>SUM(C247:C248)</f>
        <v>0</v>
      </c>
    </row>
    <row r="247" spans="1:3" ht="24.75" customHeight="1" hidden="1">
      <c r="A247" s="5" t="s">
        <v>56</v>
      </c>
      <c r="B247" s="34" t="s">
        <v>159</v>
      </c>
      <c r="C247" s="401"/>
    </row>
    <row r="248" spans="1:3" ht="24.75" customHeight="1" hidden="1">
      <c r="A248" s="5" t="s">
        <v>57</v>
      </c>
      <c r="B248" s="34" t="s">
        <v>160</v>
      </c>
      <c r="C248" s="401"/>
    </row>
    <row r="249" spans="1:3" ht="24.75" customHeight="1" hidden="1">
      <c r="A249" s="397" t="s">
        <v>58</v>
      </c>
      <c r="B249" s="398" t="s">
        <v>150</v>
      </c>
      <c r="C249" s="400">
        <f>SUM(C250:C252)</f>
        <v>0</v>
      </c>
    </row>
    <row r="250" spans="1:3" ht="24.75" customHeight="1" hidden="1">
      <c r="A250" s="5" t="s">
        <v>161</v>
      </c>
      <c r="B250" s="37" t="s">
        <v>162</v>
      </c>
      <c r="C250" s="401"/>
    </row>
    <row r="251" spans="1:3" ht="24.75" customHeight="1" hidden="1">
      <c r="A251" s="5" t="s">
        <v>163</v>
      </c>
      <c r="B251" s="34" t="s">
        <v>164</v>
      </c>
      <c r="C251" s="401"/>
    </row>
    <row r="252" spans="1:3" ht="24.75" customHeight="1" hidden="1">
      <c r="A252" s="5" t="s">
        <v>165</v>
      </c>
      <c r="B252" s="34" t="s">
        <v>166</v>
      </c>
      <c r="C252" s="401"/>
    </row>
    <row r="253" spans="1:3" ht="24.75" customHeight="1" hidden="1">
      <c r="A253" s="397" t="s">
        <v>73</v>
      </c>
      <c r="B253" s="398" t="s">
        <v>346</v>
      </c>
      <c r="C253" s="400">
        <f>SUM(C254:C259)</f>
        <v>0</v>
      </c>
    </row>
    <row r="254" spans="1:3" ht="24.75" customHeight="1" hidden="1">
      <c r="A254" s="5" t="s">
        <v>167</v>
      </c>
      <c r="B254" s="34" t="s">
        <v>168</v>
      </c>
      <c r="C254" s="401"/>
    </row>
    <row r="255" spans="1:3" ht="24.75" customHeight="1" hidden="1">
      <c r="A255" s="5" t="s">
        <v>169</v>
      </c>
      <c r="B255" s="34" t="s">
        <v>170</v>
      </c>
      <c r="C255" s="401"/>
    </row>
    <row r="256" spans="1:3" ht="24.75" customHeight="1" hidden="1">
      <c r="A256" s="5" t="s">
        <v>171</v>
      </c>
      <c r="B256" s="34" t="s">
        <v>172</v>
      </c>
      <c r="C256" s="401"/>
    </row>
    <row r="257" spans="1:3" ht="24.75" customHeight="1" hidden="1">
      <c r="A257" s="5" t="s">
        <v>173</v>
      </c>
      <c r="B257" s="34" t="s">
        <v>156</v>
      </c>
      <c r="C257" s="401"/>
    </row>
    <row r="258" spans="1:3" ht="24.75" customHeight="1" hidden="1">
      <c r="A258" s="5" t="s">
        <v>174</v>
      </c>
      <c r="B258" s="34" t="s">
        <v>157</v>
      </c>
      <c r="C258" s="401"/>
    </row>
    <row r="259" spans="1:3" ht="24.75" customHeight="1" hidden="1">
      <c r="A259" s="5" t="s">
        <v>175</v>
      </c>
      <c r="B259" s="34" t="s">
        <v>176</v>
      </c>
      <c r="C259" s="401"/>
    </row>
    <row r="260" spans="1:3" ht="24.75" customHeight="1" hidden="1">
      <c r="A260" s="397" t="s">
        <v>74</v>
      </c>
      <c r="B260" s="398" t="s">
        <v>348</v>
      </c>
      <c r="C260" s="400">
        <f>SUM(C261:C263)</f>
        <v>45</v>
      </c>
    </row>
    <row r="261" spans="1:3" ht="24.75" customHeight="1" hidden="1">
      <c r="A261" s="5" t="s">
        <v>177</v>
      </c>
      <c r="B261" s="34" t="s">
        <v>168</v>
      </c>
      <c r="C261" s="401">
        <v>45</v>
      </c>
    </row>
    <row r="262" spans="1:3" ht="24.75" customHeight="1" hidden="1">
      <c r="A262" s="5" t="s">
        <v>178</v>
      </c>
      <c r="B262" s="34" t="s">
        <v>170</v>
      </c>
      <c r="C262" s="401">
        <v>0</v>
      </c>
    </row>
    <row r="263" spans="1:3" ht="24.75" customHeight="1" hidden="1">
      <c r="A263" s="5" t="s">
        <v>179</v>
      </c>
      <c r="B263" s="34" t="s">
        <v>180</v>
      </c>
      <c r="C263" s="401">
        <v>0</v>
      </c>
    </row>
    <row r="264" ht="15.75" hidden="1"/>
    <row r="265" ht="15.75" hidden="1"/>
    <row r="266" ht="15.75" hidden="1"/>
    <row r="267" ht="15.75" hidden="1"/>
    <row r="268" ht="15.75" hidden="1"/>
    <row r="269" ht="15.75" hidden="1"/>
    <row r="270" ht="15.75" hidden="1"/>
    <row r="271" ht="15.75" hidden="1"/>
    <row r="272" ht="15.75" hidden="1"/>
    <row r="273" ht="15.75" customHeight="1" hidden="1"/>
    <row r="274" ht="15.75" hidden="1"/>
    <row r="275" ht="15.75" hidden="1"/>
    <row r="276" spans="1:3" ht="16.5" customHeight="1" hidden="1">
      <c r="A276" s="1502" t="s">
        <v>182</v>
      </c>
      <c r="B276" s="1503"/>
      <c r="C276" s="1503"/>
    </row>
    <row r="277" spans="1:3" ht="18.75" hidden="1">
      <c r="A277" s="1500" t="s">
        <v>70</v>
      </c>
      <c r="B277" s="1501"/>
      <c r="C277" s="387" t="s">
        <v>340</v>
      </c>
    </row>
    <row r="278" spans="1:3" ht="15.75" hidden="1">
      <c r="A278" s="1504" t="s">
        <v>6</v>
      </c>
      <c r="B278" s="1505"/>
      <c r="C278" s="399">
        <v>1</v>
      </c>
    </row>
    <row r="279" spans="1:3" ht="24.75" customHeight="1" hidden="1">
      <c r="A279" s="397" t="s">
        <v>52</v>
      </c>
      <c r="B279" s="398" t="s">
        <v>347</v>
      </c>
      <c r="C279" s="400">
        <f>SUM(C280:C285)</f>
        <v>0</v>
      </c>
    </row>
    <row r="280" spans="1:3" ht="24.75" customHeight="1" hidden="1">
      <c r="A280" s="5" t="s">
        <v>54</v>
      </c>
      <c r="B280" s="34" t="s">
        <v>153</v>
      </c>
      <c r="C280" s="401"/>
    </row>
    <row r="281" spans="1:3" ht="24.75" customHeight="1" hidden="1">
      <c r="A281" s="5" t="s">
        <v>55</v>
      </c>
      <c r="B281" s="34" t="s">
        <v>154</v>
      </c>
      <c r="C281" s="401"/>
    </row>
    <row r="282" spans="1:3" ht="24.75" customHeight="1" hidden="1">
      <c r="A282" s="5" t="s">
        <v>141</v>
      </c>
      <c r="B282" s="34" t="s">
        <v>155</v>
      </c>
      <c r="C282" s="401"/>
    </row>
    <row r="283" spans="1:3" ht="24.75" customHeight="1" hidden="1">
      <c r="A283" s="5" t="s">
        <v>143</v>
      </c>
      <c r="B283" s="34" t="s">
        <v>156</v>
      </c>
      <c r="C283" s="401"/>
    </row>
    <row r="284" spans="1:3" ht="24.75" customHeight="1" hidden="1">
      <c r="A284" s="5" t="s">
        <v>145</v>
      </c>
      <c r="B284" s="34" t="s">
        <v>157</v>
      </c>
      <c r="C284" s="401"/>
    </row>
    <row r="285" spans="1:3" ht="24.75" customHeight="1" hidden="1">
      <c r="A285" s="5" t="s">
        <v>147</v>
      </c>
      <c r="B285" s="34" t="s">
        <v>158</v>
      </c>
      <c r="C285" s="401"/>
    </row>
    <row r="286" spans="1:3" ht="24.75" customHeight="1" hidden="1">
      <c r="A286" s="397" t="s">
        <v>53</v>
      </c>
      <c r="B286" s="398" t="s">
        <v>345</v>
      </c>
      <c r="C286" s="400">
        <f>SUM(C287:C288)</f>
        <v>0</v>
      </c>
    </row>
    <row r="287" spans="1:3" ht="24.75" customHeight="1" hidden="1">
      <c r="A287" s="5" t="s">
        <v>56</v>
      </c>
      <c r="B287" s="34" t="s">
        <v>159</v>
      </c>
      <c r="C287" s="401"/>
    </row>
    <row r="288" spans="1:3" ht="24.75" customHeight="1" hidden="1">
      <c r="A288" s="5" t="s">
        <v>57</v>
      </c>
      <c r="B288" s="34" t="s">
        <v>160</v>
      </c>
      <c r="C288" s="401"/>
    </row>
    <row r="289" spans="1:3" ht="24.75" customHeight="1" hidden="1">
      <c r="A289" s="397" t="s">
        <v>58</v>
      </c>
      <c r="B289" s="398" t="s">
        <v>150</v>
      </c>
      <c r="C289" s="400">
        <f>SUM(C290:C292)</f>
        <v>0</v>
      </c>
    </row>
    <row r="290" spans="1:3" ht="24.75" customHeight="1" hidden="1">
      <c r="A290" s="5" t="s">
        <v>161</v>
      </c>
      <c r="B290" s="37" t="s">
        <v>162</v>
      </c>
      <c r="C290" s="401"/>
    </row>
    <row r="291" spans="1:3" ht="24.75" customHeight="1" hidden="1">
      <c r="A291" s="5" t="s">
        <v>163</v>
      </c>
      <c r="B291" s="34" t="s">
        <v>164</v>
      </c>
      <c r="C291" s="401"/>
    </row>
    <row r="292" spans="1:3" ht="24.75" customHeight="1" hidden="1">
      <c r="A292" s="5" t="s">
        <v>165</v>
      </c>
      <c r="B292" s="34" t="s">
        <v>166</v>
      </c>
      <c r="C292" s="401"/>
    </row>
    <row r="293" spans="1:3" ht="24.75" customHeight="1" hidden="1">
      <c r="A293" s="397" t="s">
        <v>73</v>
      </c>
      <c r="B293" s="398" t="s">
        <v>346</v>
      </c>
      <c r="C293" s="400">
        <f>SUM(C294:C299)</f>
        <v>0</v>
      </c>
    </row>
    <row r="294" spans="1:3" ht="24.75" customHeight="1" hidden="1">
      <c r="A294" s="5" t="s">
        <v>167</v>
      </c>
      <c r="B294" s="34" t="s">
        <v>168</v>
      </c>
      <c r="C294" s="401"/>
    </row>
    <row r="295" spans="1:3" ht="24.75" customHeight="1" hidden="1">
      <c r="A295" s="5" t="s">
        <v>169</v>
      </c>
      <c r="B295" s="34" t="s">
        <v>170</v>
      </c>
      <c r="C295" s="401"/>
    </row>
    <row r="296" spans="1:3" ht="24.75" customHeight="1" hidden="1">
      <c r="A296" s="5" t="s">
        <v>171</v>
      </c>
      <c r="B296" s="34" t="s">
        <v>172</v>
      </c>
      <c r="C296" s="401"/>
    </row>
    <row r="297" spans="1:3" ht="24.75" customHeight="1" hidden="1">
      <c r="A297" s="5" t="s">
        <v>173</v>
      </c>
      <c r="B297" s="34" t="s">
        <v>156</v>
      </c>
      <c r="C297" s="401"/>
    </row>
    <row r="298" spans="1:3" ht="24.75" customHeight="1" hidden="1">
      <c r="A298" s="5" t="s">
        <v>174</v>
      </c>
      <c r="B298" s="34" t="s">
        <v>157</v>
      </c>
      <c r="C298" s="401"/>
    </row>
    <row r="299" spans="1:3" ht="24.75" customHeight="1" hidden="1">
      <c r="A299" s="5" t="s">
        <v>175</v>
      </c>
      <c r="B299" s="34" t="s">
        <v>176</v>
      </c>
      <c r="C299" s="401"/>
    </row>
    <row r="300" spans="1:3" ht="24.75" customHeight="1" hidden="1">
      <c r="A300" s="397" t="s">
        <v>74</v>
      </c>
      <c r="B300" s="398" t="s">
        <v>348</v>
      </c>
      <c r="C300" s="400">
        <f>SUM(C301:C303)</f>
        <v>11</v>
      </c>
    </row>
    <row r="301" spans="1:3" ht="24.75" customHeight="1" hidden="1">
      <c r="A301" s="5" t="s">
        <v>177</v>
      </c>
      <c r="B301" s="34" t="s">
        <v>168</v>
      </c>
      <c r="C301" s="401">
        <v>9</v>
      </c>
    </row>
    <row r="302" spans="1:3" ht="24.75" customHeight="1" hidden="1">
      <c r="A302" s="5" t="s">
        <v>178</v>
      </c>
      <c r="B302" s="34" t="s">
        <v>170</v>
      </c>
      <c r="C302" s="401">
        <v>0</v>
      </c>
    </row>
    <row r="303" spans="1:3" ht="24.75" customHeight="1" hidden="1">
      <c r="A303" s="5" t="s">
        <v>179</v>
      </c>
      <c r="B303" s="34" t="s">
        <v>180</v>
      </c>
      <c r="C303" s="401">
        <v>2</v>
      </c>
    </row>
    <row r="304" ht="15.75" hidden="1"/>
    <row r="305" ht="15.75" hidden="1"/>
    <row r="306" ht="15.75" hidden="1"/>
    <row r="307" ht="15.75" hidden="1"/>
    <row r="308" ht="15.75" hidden="1"/>
    <row r="309" ht="15.75" hidden="1"/>
    <row r="310" ht="15.75" hidden="1"/>
    <row r="311" ht="15.75" customHeight="1" hidden="1"/>
    <row r="312" ht="15.75" hidden="1"/>
    <row r="313" ht="15.75" hidden="1"/>
    <row r="314" spans="1:3" ht="16.5" customHeight="1" hidden="1">
      <c r="A314" s="1502" t="s">
        <v>182</v>
      </c>
      <c r="B314" s="1503"/>
      <c r="C314" s="1503"/>
    </row>
    <row r="315" spans="1:3" ht="18.75" hidden="1">
      <c r="A315" s="1500" t="s">
        <v>70</v>
      </c>
      <c r="B315" s="1501"/>
      <c r="C315" s="387" t="s">
        <v>340</v>
      </c>
    </row>
    <row r="316" spans="1:3" ht="15.75" hidden="1">
      <c r="A316" s="1504" t="s">
        <v>6</v>
      </c>
      <c r="B316" s="1505"/>
      <c r="C316" s="399">
        <v>1</v>
      </c>
    </row>
    <row r="317" spans="1:3" ht="24.75" customHeight="1" hidden="1">
      <c r="A317" s="397" t="s">
        <v>52</v>
      </c>
      <c r="B317" s="398" t="s">
        <v>347</v>
      </c>
      <c r="C317" s="400">
        <f>SUM(C318:C323)</f>
        <v>0</v>
      </c>
    </row>
    <row r="318" spans="1:3" ht="24.75" customHeight="1" hidden="1">
      <c r="A318" s="5" t="s">
        <v>54</v>
      </c>
      <c r="B318" s="34" t="s">
        <v>153</v>
      </c>
      <c r="C318" s="401"/>
    </row>
    <row r="319" spans="1:3" ht="24.75" customHeight="1" hidden="1">
      <c r="A319" s="5" t="s">
        <v>55</v>
      </c>
      <c r="B319" s="34" t="s">
        <v>154</v>
      </c>
      <c r="C319" s="401"/>
    </row>
    <row r="320" spans="1:3" ht="24.75" customHeight="1" hidden="1">
      <c r="A320" s="5" t="s">
        <v>141</v>
      </c>
      <c r="B320" s="34" t="s">
        <v>155</v>
      </c>
      <c r="C320" s="401"/>
    </row>
    <row r="321" spans="1:3" ht="24.75" customHeight="1" hidden="1">
      <c r="A321" s="5" t="s">
        <v>143</v>
      </c>
      <c r="B321" s="34" t="s">
        <v>156</v>
      </c>
      <c r="C321" s="401"/>
    </row>
    <row r="322" spans="1:3" ht="24.75" customHeight="1" hidden="1">
      <c r="A322" s="5" t="s">
        <v>145</v>
      </c>
      <c r="B322" s="34" t="s">
        <v>157</v>
      </c>
      <c r="C322" s="401"/>
    </row>
    <row r="323" spans="1:3" ht="24.75" customHeight="1" hidden="1">
      <c r="A323" s="5" t="s">
        <v>147</v>
      </c>
      <c r="B323" s="34" t="s">
        <v>158</v>
      </c>
      <c r="C323" s="401"/>
    </row>
    <row r="324" spans="1:3" ht="24.75" customHeight="1" hidden="1">
      <c r="A324" s="397" t="s">
        <v>53</v>
      </c>
      <c r="B324" s="398" t="s">
        <v>345</v>
      </c>
      <c r="C324" s="400">
        <f>SUM(C325:C326)</f>
        <v>0</v>
      </c>
    </row>
    <row r="325" spans="1:3" ht="24.75" customHeight="1" hidden="1">
      <c r="A325" s="5" t="s">
        <v>56</v>
      </c>
      <c r="B325" s="34" t="s">
        <v>159</v>
      </c>
      <c r="C325" s="401"/>
    </row>
    <row r="326" spans="1:3" ht="24.75" customHeight="1" hidden="1">
      <c r="A326" s="5" t="s">
        <v>57</v>
      </c>
      <c r="B326" s="34" t="s">
        <v>160</v>
      </c>
      <c r="C326" s="401"/>
    </row>
    <row r="327" spans="1:3" ht="24.75" customHeight="1" hidden="1">
      <c r="A327" s="397" t="s">
        <v>58</v>
      </c>
      <c r="B327" s="398" t="s">
        <v>150</v>
      </c>
      <c r="C327" s="400">
        <f>SUM(C328:C330)</f>
        <v>0</v>
      </c>
    </row>
    <row r="328" spans="1:3" ht="24.75" customHeight="1" hidden="1">
      <c r="A328" s="5" t="s">
        <v>161</v>
      </c>
      <c r="B328" s="37" t="s">
        <v>162</v>
      </c>
      <c r="C328" s="401"/>
    </row>
    <row r="329" spans="1:3" ht="24.75" customHeight="1" hidden="1">
      <c r="A329" s="5" t="s">
        <v>163</v>
      </c>
      <c r="B329" s="34" t="s">
        <v>164</v>
      </c>
      <c r="C329" s="401"/>
    </row>
    <row r="330" spans="1:3" ht="24.75" customHeight="1" hidden="1">
      <c r="A330" s="5" t="s">
        <v>165</v>
      </c>
      <c r="B330" s="34" t="s">
        <v>166</v>
      </c>
      <c r="C330" s="401"/>
    </row>
    <row r="331" spans="1:3" ht="24.75" customHeight="1" hidden="1">
      <c r="A331" s="397" t="s">
        <v>73</v>
      </c>
      <c r="B331" s="398" t="s">
        <v>346</v>
      </c>
      <c r="C331" s="400">
        <f>SUM(C332:C337)</f>
        <v>0</v>
      </c>
    </row>
    <row r="332" spans="1:3" ht="24.75" customHeight="1" hidden="1">
      <c r="A332" s="5" t="s">
        <v>167</v>
      </c>
      <c r="B332" s="34" t="s">
        <v>168</v>
      </c>
      <c r="C332" s="401"/>
    </row>
    <row r="333" spans="1:3" ht="24.75" customHeight="1" hidden="1">
      <c r="A333" s="5" t="s">
        <v>169</v>
      </c>
      <c r="B333" s="34" t="s">
        <v>170</v>
      </c>
      <c r="C333" s="401"/>
    </row>
    <row r="334" spans="1:3" ht="24.75" customHeight="1" hidden="1">
      <c r="A334" s="5" t="s">
        <v>171</v>
      </c>
      <c r="B334" s="34" t="s">
        <v>172</v>
      </c>
      <c r="C334" s="401"/>
    </row>
    <row r="335" spans="1:3" ht="24.75" customHeight="1" hidden="1">
      <c r="A335" s="5" t="s">
        <v>173</v>
      </c>
      <c r="B335" s="34" t="s">
        <v>156</v>
      </c>
      <c r="C335" s="401"/>
    </row>
    <row r="336" spans="1:3" ht="24.75" customHeight="1" hidden="1">
      <c r="A336" s="5" t="s">
        <v>174</v>
      </c>
      <c r="B336" s="34" t="s">
        <v>157</v>
      </c>
      <c r="C336" s="401"/>
    </row>
    <row r="337" spans="1:3" ht="24.75" customHeight="1" hidden="1">
      <c r="A337" s="5" t="s">
        <v>175</v>
      </c>
      <c r="B337" s="34" t="s">
        <v>176</v>
      </c>
      <c r="C337" s="401"/>
    </row>
    <row r="338" spans="1:3" ht="24.75" customHeight="1" hidden="1">
      <c r="A338" s="397" t="s">
        <v>74</v>
      </c>
      <c r="B338" s="398" t="s">
        <v>348</v>
      </c>
      <c r="C338" s="400">
        <f>SUM(C339:C341)</f>
        <v>16</v>
      </c>
    </row>
    <row r="339" spans="1:3" ht="24.75" customHeight="1" hidden="1">
      <c r="A339" s="5" t="s">
        <v>177</v>
      </c>
      <c r="B339" s="34" t="s">
        <v>168</v>
      </c>
      <c r="C339" s="401">
        <v>16</v>
      </c>
    </row>
    <row r="340" spans="1:3" ht="24.75" customHeight="1" hidden="1">
      <c r="A340" s="5" t="s">
        <v>178</v>
      </c>
      <c r="B340" s="34" t="s">
        <v>170</v>
      </c>
      <c r="C340" s="401"/>
    </row>
    <row r="341" spans="1:3" ht="24.75" customHeight="1" hidden="1">
      <c r="A341" s="5" t="s">
        <v>179</v>
      </c>
      <c r="B341" s="34" t="s">
        <v>180</v>
      </c>
      <c r="C341" s="401"/>
    </row>
    <row r="342" ht="15.75" hidden="1"/>
    <row r="343" ht="15.75" hidden="1"/>
    <row r="344" ht="15.75" hidden="1"/>
    <row r="345" ht="15.75" hidden="1"/>
    <row r="346" ht="15.75" hidden="1"/>
    <row r="347" ht="15.75" hidden="1"/>
    <row r="348" ht="15.75" customHeight="1" hidden="1"/>
    <row r="349" ht="15.75" hidden="1"/>
    <row r="350" ht="15.75" hidden="1"/>
    <row r="351" spans="1:3" ht="16.5" customHeight="1" hidden="1">
      <c r="A351" s="1502" t="s">
        <v>182</v>
      </c>
      <c r="B351" s="1503"/>
      <c r="C351" s="1503"/>
    </row>
    <row r="352" spans="1:3" ht="18.75" hidden="1">
      <c r="A352" s="1500" t="s">
        <v>70</v>
      </c>
      <c r="B352" s="1501"/>
      <c r="C352" s="387" t="s">
        <v>340</v>
      </c>
    </row>
    <row r="353" spans="1:3" ht="15.75" hidden="1">
      <c r="A353" s="1504" t="s">
        <v>6</v>
      </c>
      <c r="B353" s="1505"/>
      <c r="C353" s="399">
        <v>1</v>
      </c>
    </row>
    <row r="354" spans="1:3" ht="24.75" customHeight="1" hidden="1">
      <c r="A354" s="397" t="s">
        <v>52</v>
      </c>
      <c r="B354" s="398" t="s">
        <v>347</v>
      </c>
      <c r="C354" s="400">
        <f>SUM(C355:C360)</f>
        <v>2</v>
      </c>
    </row>
    <row r="355" spans="1:3" ht="24.75" customHeight="1" hidden="1">
      <c r="A355" s="5" t="s">
        <v>54</v>
      </c>
      <c r="B355" s="34" t="s">
        <v>153</v>
      </c>
      <c r="C355" s="401">
        <v>2</v>
      </c>
    </row>
    <row r="356" spans="1:3" ht="24.75" customHeight="1" hidden="1">
      <c r="A356" s="5" t="s">
        <v>55</v>
      </c>
      <c r="B356" s="34" t="s">
        <v>154</v>
      </c>
      <c r="C356" s="401">
        <v>0</v>
      </c>
    </row>
    <row r="357" spans="1:3" ht="24.75" customHeight="1" hidden="1">
      <c r="A357" s="5" t="s">
        <v>141</v>
      </c>
      <c r="B357" s="34" t="s">
        <v>155</v>
      </c>
      <c r="C357" s="401">
        <v>0</v>
      </c>
    </row>
    <row r="358" spans="1:3" ht="24.75" customHeight="1" hidden="1">
      <c r="A358" s="5" t="s">
        <v>143</v>
      </c>
      <c r="B358" s="34" t="s">
        <v>156</v>
      </c>
      <c r="C358" s="401">
        <v>0</v>
      </c>
    </row>
    <row r="359" spans="1:3" ht="24.75" customHeight="1" hidden="1">
      <c r="A359" s="5" t="s">
        <v>145</v>
      </c>
      <c r="B359" s="34" t="s">
        <v>157</v>
      </c>
      <c r="C359" s="401">
        <v>0</v>
      </c>
    </row>
    <row r="360" spans="1:3" ht="24.75" customHeight="1" hidden="1">
      <c r="A360" s="5" t="s">
        <v>147</v>
      </c>
      <c r="B360" s="34" t="s">
        <v>158</v>
      </c>
      <c r="C360" s="401">
        <v>0</v>
      </c>
    </row>
    <row r="361" spans="1:3" ht="24.75" customHeight="1" hidden="1">
      <c r="A361" s="397" t="s">
        <v>53</v>
      </c>
      <c r="B361" s="398" t="s">
        <v>345</v>
      </c>
      <c r="C361" s="400">
        <f>SUM(C362:C363)</f>
        <v>0</v>
      </c>
    </row>
    <row r="362" spans="1:3" ht="24.75" customHeight="1" hidden="1">
      <c r="A362" s="5" t="s">
        <v>56</v>
      </c>
      <c r="B362" s="34" t="s">
        <v>159</v>
      </c>
      <c r="C362" s="401"/>
    </row>
    <row r="363" spans="1:3" ht="24.75" customHeight="1" hidden="1">
      <c r="A363" s="5" t="s">
        <v>57</v>
      </c>
      <c r="B363" s="34" t="s">
        <v>160</v>
      </c>
      <c r="C363" s="401"/>
    </row>
    <row r="364" spans="1:3" ht="24.75" customHeight="1" hidden="1">
      <c r="A364" s="397" t="s">
        <v>58</v>
      </c>
      <c r="B364" s="398" t="s">
        <v>150</v>
      </c>
      <c r="C364" s="400">
        <f>SUM(C365:C367)</f>
        <v>10</v>
      </c>
    </row>
    <row r="365" spans="1:3" ht="24.75" customHeight="1" hidden="1">
      <c r="A365" s="5" t="s">
        <v>161</v>
      </c>
      <c r="B365" s="37" t="s">
        <v>162</v>
      </c>
      <c r="C365" s="401">
        <v>0</v>
      </c>
    </row>
    <row r="366" spans="1:3" ht="24.75" customHeight="1" hidden="1">
      <c r="A366" s="5" t="s">
        <v>163</v>
      </c>
      <c r="B366" s="34" t="s">
        <v>164</v>
      </c>
      <c r="C366" s="401">
        <v>10</v>
      </c>
    </row>
    <row r="367" spans="1:3" ht="24.75" customHeight="1" hidden="1">
      <c r="A367" s="5" t="s">
        <v>165</v>
      </c>
      <c r="B367" s="34" t="s">
        <v>166</v>
      </c>
      <c r="C367" s="401">
        <v>0</v>
      </c>
    </row>
    <row r="368" spans="1:3" ht="24.75" customHeight="1" hidden="1">
      <c r="A368" s="397" t="s">
        <v>73</v>
      </c>
      <c r="B368" s="398" t="s">
        <v>346</v>
      </c>
      <c r="C368" s="400">
        <f>SUM(C369:C374)</f>
        <v>0</v>
      </c>
    </row>
    <row r="369" spans="1:3" ht="24.75" customHeight="1" hidden="1">
      <c r="A369" s="5" t="s">
        <v>167</v>
      </c>
      <c r="B369" s="34" t="s">
        <v>168</v>
      </c>
      <c r="C369" s="401"/>
    </row>
    <row r="370" spans="1:3" ht="24.75" customHeight="1" hidden="1">
      <c r="A370" s="5" t="s">
        <v>169</v>
      </c>
      <c r="B370" s="34" t="s">
        <v>170</v>
      </c>
      <c r="C370" s="401"/>
    </row>
    <row r="371" spans="1:3" ht="24.75" customHeight="1" hidden="1">
      <c r="A371" s="5" t="s">
        <v>171</v>
      </c>
      <c r="B371" s="34" t="s">
        <v>172</v>
      </c>
      <c r="C371" s="401"/>
    </row>
    <row r="372" spans="1:3" ht="24.75" customHeight="1" hidden="1">
      <c r="A372" s="5" t="s">
        <v>173</v>
      </c>
      <c r="B372" s="34" t="s">
        <v>156</v>
      </c>
      <c r="C372" s="401"/>
    </row>
    <row r="373" spans="1:3" ht="24.75" customHeight="1" hidden="1">
      <c r="A373" s="5" t="s">
        <v>174</v>
      </c>
      <c r="B373" s="34" t="s">
        <v>157</v>
      </c>
      <c r="C373" s="401"/>
    </row>
    <row r="374" spans="1:3" ht="24.75" customHeight="1" hidden="1">
      <c r="A374" s="5" t="s">
        <v>175</v>
      </c>
      <c r="B374" s="34" t="s">
        <v>176</v>
      </c>
      <c r="C374" s="401"/>
    </row>
    <row r="375" spans="1:3" ht="24.75" customHeight="1" hidden="1">
      <c r="A375" s="397" t="s">
        <v>74</v>
      </c>
      <c r="B375" s="398" t="s">
        <v>348</v>
      </c>
      <c r="C375" s="400">
        <f>SUM(C376:C378)</f>
        <v>30</v>
      </c>
    </row>
    <row r="376" spans="1:3" ht="24.75" customHeight="1" hidden="1">
      <c r="A376" s="5" t="s">
        <v>177</v>
      </c>
      <c r="B376" s="34" t="s">
        <v>168</v>
      </c>
      <c r="C376" s="401">
        <v>30</v>
      </c>
    </row>
    <row r="377" spans="1:3" ht="24.75" customHeight="1" hidden="1">
      <c r="A377" s="5" t="s">
        <v>178</v>
      </c>
      <c r="B377" s="34" t="s">
        <v>170</v>
      </c>
      <c r="C377" s="401">
        <v>0</v>
      </c>
    </row>
    <row r="378" spans="1:3" ht="24.75" customHeight="1" hidden="1">
      <c r="A378" s="5" t="s">
        <v>179</v>
      </c>
      <c r="B378" s="34" t="s">
        <v>180</v>
      </c>
      <c r="C378" s="401">
        <v>0</v>
      </c>
    </row>
    <row r="379" ht="15.75" hidden="1"/>
    <row r="380" ht="15.75" hidden="1"/>
    <row r="381" ht="15.75" hidden="1"/>
    <row r="382" ht="15.75" hidden="1"/>
    <row r="383" ht="15.75" hidden="1"/>
    <row r="384" ht="15.75" hidden="1"/>
    <row r="385" ht="15.75" hidden="1"/>
    <row r="386" ht="15.75" hidden="1"/>
    <row r="387" ht="15.75" hidden="1"/>
    <row r="388" ht="15.75" hidden="1"/>
    <row r="389" ht="15.75" hidden="1"/>
    <row r="390" ht="15.75" customHeight="1" hidden="1"/>
    <row r="391" ht="15.75" hidden="1"/>
    <row r="392" ht="15.75" hidden="1"/>
    <row r="393" spans="1:3" ht="16.5" customHeight="1" hidden="1">
      <c r="A393" s="1502" t="s">
        <v>182</v>
      </c>
      <c r="B393" s="1503"/>
      <c r="C393" s="1503"/>
    </row>
    <row r="394" spans="1:3" ht="18.75" hidden="1">
      <c r="A394" s="1500" t="s">
        <v>70</v>
      </c>
      <c r="B394" s="1501"/>
      <c r="C394" s="387" t="s">
        <v>340</v>
      </c>
    </row>
    <row r="395" spans="1:3" ht="15.75" hidden="1">
      <c r="A395" s="1504" t="s">
        <v>6</v>
      </c>
      <c r="B395" s="1505"/>
      <c r="C395" s="399">
        <v>1</v>
      </c>
    </row>
    <row r="396" spans="1:3" ht="24.75" customHeight="1" hidden="1">
      <c r="A396" s="397" t="s">
        <v>52</v>
      </c>
      <c r="B396" s="398" t="s">
        <v>347</v>
      </c>
      <c r="C396" s="400">
        <f>SUM(C397:C402)</f>
        <v>0</v>
      </c>
    </row>
    <row r="397" spans="1:3" ht="24.75" customHeight="1" hidden="1">
      <c r="A397" s="5" t="s">
        <v>54</v>
      </c>
      <c r="B397" s="34" t="s">
        <v>153</v>
      </c>
      <c r="C397" s="401"/>
    </row>
    <row r="398" spans="1:3" ht="24.75" customHeight="1" hidden="1">
      <c r="A398" s="5" t="s">
        <v>55</v>
      </c>
      <c r="B398" s="34" t="s">
        <v>154</v>
      </c>
      <c r="C398" s="401"/>
    </row>
    <row r="399" spans="1:3" ht="24.75" customHeight="1" hidden="1">
      <c r="A399" s="5" t="s">
        <v>141</v>
      </c>
      <c r="B399" s="34" t="s">
        <v>155</v>
      </c>
      <c r="C399" s="401"/>
    </row>
    <row r="400" spans="1:3" ht="24.75" customHeight="1" hidden="1">
      <c r="A400" s="5" t="s">
        <v>143</v>
      </c>
      <c r="B400" s="34" t="s">
        <v>156</v>
      </c>
      <c r="C400" s="401"/>
    </row>
    <row r="401" spans="1:3" ht="24.75" customHeight="1" hidden="1">
      <c r="A401" s="5" t="s">
        <v>145</v>
      </c>
      <c r="B401" s="34" t="s">
        <v>157</v>
      </c>
      <c r="C401" s="401"/>
    </row>
    <row r="402" spans="1:3" ht="24.75" customHeight="1" hidden="1">
      <c r="A402" s="5" t="s">
        <v>147</v>
      </c>
      <c r="B402" s="34" t="s">
        <v>158</v>
      </c>
      <c r="C402" s="401"/>
    </row>
    <row r="403" spans="1:3" ht="24.75" customHeight="1" hidden="1">
      <c r="A403" s="397" t="s">
        <v>53</v>
      </c>
      <c r="B403" s="398" t="s">
        <v>345</v>
      </c>
      <c r="C403" s="400">
        <f>SUM(C404:C405)</f>
        <v>0</v>
      </c>
    </row>
    <row r="404" spans="1:3" ht="24.75" customHeight="1" hidden="1">
      <c r="A404" s="5" t="s">
        <v>56</v>
      </c>
      <c r="B404" s="34" t="s">
        <v>159</v>
      </c>
      <c r="C404" s="401"/>
    </row>
    <row r="405" spans="1:3" ht="24.75" customHeight="1" hidden="1">
      <c r="A405" s="5" t="s">
        <v>57</v>
      </c>
      <c r="B405" s="34" t="s">
        <v>160</v>
      </c>
      <c r="C405" s="401"/>
    </row>
    <row r="406" spans="1:3" ht="24.75" customHeight="1" hidden="1">
      <c r="A406" s="397" t="s">
        <v>58</v>
      </c>
      <c r="B406" s="398" t="s">
        <v>150</v>
      </c>
      <c r="C406" s="400">
        <f>SUM(C407:C409)</f>
        <v>0</v>
      </c>
    </row>
    <row r="407" spans="1:3" ht="24.75" customHeight="1" hidden="1">
      <c r="A407" s="5" t="s">
        <v>161</v>
      </c>
      <c r="B407" s="37" t="s">
        <v>162</v>
      </c>
      <c r="C407" s="401"/>
    </row>
    <row r="408" spans="1:3" ht="24.75" customHeight="1" hidden="1">
      <c r="A408" s="5" t="s">
        <v>163</v>
      </c>
      <c r="B408" s="34" t="s">
        <v>164</v>
      </c>
      <c r="C408" s="401"/>
    </row>
    <row r="409" spans="1:3" ht="24.75" customHeight="1" hidden="1">
      <c r="A409" s="5" t="s">
        <v>165</v>
      </c>
      <c r="B409" s="34" t="s">
        <v>166</v>
      </c>
      <c r="C409" s="401"/>
    </row>
    <row r="410" spans="1:3" ht="24.75" customHeight="1" hidden="1">
      <c r="A410" s="397" t="s">
        <v>73</v>
      </c>
      <c r="B410" s="398" t="s">
        <v>346</v>
      </c>
      <c r="C410" s="400">
        <f>SUM(C411:C416)</f>
        <v>0</v>
      </c>
    </row>
    <row r="411" spans="1:3" ht="24.75" customHeight="1" hidden="1">
      <c r="A411" s="5" t="s">
        <v>167</v>
      </c>
      <c r="B411" s="34" t="s">
        <v>168</v>
      </c>
      <c r="C411" s="401"/>
    </row>
    <row r="412" spans="1:3" ht="24.75" customHeight="1" hidden="1">
      <c r="A412" s="5" t="s">
        <v>169</v>
      </c>
      <c r="B412" s="34" t="s">
        <v>170</v>
      </c>
      <c r="C412" s="401"/>
    </row>
    <row r="413" spans="1:3" ht="24.75" customHeight="1" hidden="1">
      <c r="A413" s="5" t="s">
        <v>171</v>
      </c>
      <c r="B413" s="34" t="s">
        <v>172</v>
      </c>
      <c r="C413" s="401"/>
    </row>
    <row r="414" spans="1:3" ht="24.75" customHeight="1" hidden="1">
      <c r="A414" s="5" t="s">
        <v>173</v>
      </c>
      <c r="B414" s="34" t="s">
        <v>156</v>
      </c>
      <c r="C414" s="401"/>
    </row>
    <row r="415" spans="1:3" ht="24.75" customHeight="1" hidden="1">
      <c r="A415" s="5" t="s">
        <v>174</v>
      </c>
      <c r="B415" s="34" t="s">
        <v>157</v>
      </c>
      <c r="C415" s="401"/>
    </row>
    <row r="416" spans="1:3" ht="24.75" customHeight="1" hidden="1">
      <c r="A416" s="5" t="s">
        <v>175</v>
      </c>
      <c r="B416" s="34" t="s">
        <v>176</v>
      </c>
      <c r="C416" s="401"/>
    </row>
    <row r="417" spans="1:3" ht="24.75" customHeight="1" hidden="1">
      <c r="A417" s="397" t="s">
        <v>74</v>
      </c>
      <c r="B417" s="398" t="s">
        <v>348</v>
      </c>
      <c r="C417" s="400">
        <f>SUM(C418:C420)</f>
        <v>31</v>
      </c>
    </row>
    <row r="418" spans="1:3" ht="24.75" customHeight="1" hidden="1">
      <c r="A418" s="5" t="s">
        <v>177</v>
      </c>
      <c r="B418" s="34" t="s">
        <v>168</v>
      </c>
      <c r="C418" s="401">
        <v>31</v>
      </c>
    </row>
    <row r="419" spans="1:3" ht="24.75" customHeight="1" hidden="1">
      <c r="A419" s="5" t="s">
        <v>178</v>
      </c>
      <c r="B419" s="34" t="s">
        <v>170</v>
      </c>
      <c r="C419" s="401">
        <v>0</v>
      </c>
    </row>
    <row r="420" spans="1:3" ht="24.75" customHeight="1" hidden="1">
      <c r="A420" s="5" t="s">
        <v>179</v>
      </c>
      <c r="B420" s="34" t="s">
        <v>180</v>
      </c>
      <c r="C420" s="401">
        <v>0</v>
      </c>
    </row>
    <row r="421" ht="15.75" hidden="1"/>
    <row r="422" ht="15.75" hidden="1"/>
    <row r="423" ht="15.75" hidden="1"/>
    <row r="424" ht="15.75" hidden="1"/>
    <row r="425" ht="15.75" hidden="1"/>
    <row r="426" ht="15.75" customHeight="1" hidden="1"/>
    <row r="427" ht="15.75" hidden="1"/>
    <row r="428" ht="15.75" hidden="1"/>
    <row r="429" spans="1:3" ht="16.5" customHeight="1" hidden="1">
      <c r="A429" s="1502" t="s">
        <v>182</v>
      </c>
      <c r="B429" s="1503"/>
      <c r="C429" s="1503"/>
    </row>
    <row r="430" spans="1:3" ht="18.75" hidden="1">
      <c r="A430" s="1500" t="s">
        <v>70</v>
      </c>
      <c r="B430" s="1501"/>
      <c r="C430" s="387" t="s">
        <v>340</v>
      </c>
    </row>
    <row r="431" spans="1:3" ht="15.75" hidden="1">
      <c r="A431" s="1504" t="s">
        <v>6</v>
      </c>
      <c r="B431" s="1505"/>
      <c r="C431" s="399">
        <v>1</v>
      </c>
    </row>
    <row r="432" spans="1:3" ht="24.75" customHeight="1" hidden="1">
      <c r="A432" s="397" t="s">
        <v>52</v>
      </c>
      <c r="B432" s="398" t="s">
        <v>347</v>
      </c>
      <c r="C432" s="400">
        <f>SUM(C433:C438)</f>
        <v>0</v>
      </c>
    </row>
    <row r="433" spans="1:3" ht="24.75" customHeight="1" hidden="1">
      <c r="A433" s="5" t="s">
        <v>54</v>
      </c>
      <c r="B433" s="34" t="s">
        <v>153</v>
      </c>
      <c r="C433" s="401"/>
    </row>
    <row r="434" spans="1:3" ht="24.75" customHeight="1" hidden="1">
      <c r="A434" s="5" t="s">
        <v>55</v>
      </c>
      <c r="B434" s="34" t="s">
        <v>154</v>
      </c>
      <c r="C434" s="401"/>
    </row>
    <row r="435" spans="1:3" ht="24.75" customHeight="1" hidden="1">
      <c r="A435" s="5" t="s">
        <v>141</v>
      </c>
      <c r="B435" s="34" t="s">
        <v>155</v>
      </c>
      <c r="C435" s="401"/>
    </row>
    <row r="436" spans="1:3" ht="24.75" customHeight="1" hidden="1">
      <c r="A436" s="5" t="s">
        <v>143</v>
      </c>
      <c r="B436" s="34" t="s">
        <v>156</v>
      </c>
      <c r="C436" s="401"/>
    </row>
    <row r="437" spans="1:3" ht="24.75" customHeight="1" hidden="1">
      <c r="A437" s="5" t="s">
        <v>145</v>
      </c>
      <c r="B437" s="34" t="s">
        <v>157</v>
      </c>
      <c r="C437" s="401"/>
    </row>
    <row r="438" spans="1:3" ht="24.75" customHeight="1" hidden="1">
      <c r="A438" s="5" t="s">
        <v>147</v>
      </c>
      <c r="B438" s="34" t="s">
        <v>158</v>
      </c>
      <c r="C438" s="401"/>
    </row>
    <row r="439" spans="1:3" ht="24.75" customHeight="1" hidden="1">
      <c r="A439" s="397" t="s">
        <v>53</v>
      </c>
      <c r="B439" s="398" t="s">
        <v>345</v>
      </c>
      <c r="C439" s="400">
        <f>SUM(C440:C441)</f>
        <v>0</v>
      </c>
    </row>
    <row r="440" spans="1:3" ht="24.75" customHeight="1" hidden="1">
      <c r="A440" s="5" t="s">
        <v>56</v>
      </c>
      <c r="B440" s="34" t="s">
        <v>159</v>
      </c>
      <c r="C440" s="401"/>
    </row>
    <row r="441" spans="1:3" ht="24.75" customHeight="1" hidden="1">
      <c r="A441" s="5" t="s">
        <v>57</v>
      </c>
      <c r="B441" s="34" t="s">
        <v>160</v>
      </c>
      <c r="C441" s="401"/>
    </row>
    <row r="442" spans="1:3" ht="24.75" customHeight="1" hidden="1">
      <c r="A442" s="397" t="s">
        <v>58</v>
      </c>
      <c r="B442" s="398" t="s">
        <v>150</v>
      </c>
      <c r="C442" s="400">
        <f>SUM(C443:C445)</f>
        <v>0</v>
      </c>
    </row>
    <row r="443" spans="1:3" ht="24.75" customHeight="1" hidden="1">
      <c r="A443" s="5" t="s">
        <v>161</v>
      </c>
      <c r="B443" s="37" t="s">
        <v>162</v>
      </c>
      <c r="C443" s="401"/>
    </row>
    <row r="444" spans="1:3" ht="24.75" customHeight="1" hidden="1">
      <c r="A444" s="5" t="s">
        <v>163</v>
      </c>
      <c r="B444" s="34" t="s">
        <v>164</v>
      </c>
      <c r="C444" s="401"/>
    </row>
    <row r="445" spans="1:3" ht="24.75" customHeight="1" hidden="1">
      <c r="A445" s="5" t="s">
        <v>165</v>
      </c>
      <c r="B445" s="34" t="s">
        <v>166</v>
      </c>
      <c r="C445" s="401"/>
    </row>
    <row r="446" spans="1:3" ht="24.75" customHeight="1" hidden="1">
      <c r="A446" s="397" t="s">
        <v>73</v>
      </c>
      <c r="B446" s="398" t="s">
        <v>346</v>
      </c>
      <c r="C446" s="400">
        <f>SUM(C447:C452)</f>
        <v>0</v>
      </c>
    </row>
    <row r="447" spans="1:3" ht="24.75" customHeight="1" hidden="1">
      <c r="A447" s="5" t="s">
        <v>167</v>
      </c>
      <c r="B447" s="34" t="s">
        <v>168</v>
      </c>
      <c r="C447" s="401"/>
    </row>
    <row r="448" spans="1:3" ht="24.75" customHeight="1" hidden="1">
      <c r="A448" s="5" t="s">
        <v>169</v>
      </c>
      <c r="B448" s="34" t="s">
        <v>170</v>
      </c>
      <c r="C448" s="401"/>
    </row>
    <row r="449" spans="1:3" ht="24.75" customHeight="1" hidden="1">
      <c r="A449" s="5" t="s">
        <v>171</v>
      </c>
      <c r="B449" s="34" t="s">
        <v>172</v>
      </c>
      <c r="C449" s="401"/>
    </row>
    <row r="450" spans="1:3" ht="24.75" customHeight="1" hidden="1">
      <c r="A450" s="5" t="s">
        <v>173</v>
      </c>
      <c r="B450" s="34" t="s">
        <v>156</v>
      </c>
      <c r="C450" s="401"/>
    </row>
    <row r="451" spans="1:3" ht="24.75" customHeight="1" hidden="1">
      <c r="A451" s="5" t="s">
        <v>174</v>
      </c>
      <c r="B451" s="34" t="s">
        <v>157</v>
      </c>
      <c r="C451" s="401"/>
    </row>
    <row r="452" spans="1:3" ht="24.75" customHeight="1" hidden="1">
      <c r="A452" s="5" t="s">
        <v>175</v>
      </c>
      <c r="B452" s="34" t="s">
        <v>176</v>
      </c>
      <c r="C452" s="401"/>
    </row>
    <row r="453" spans="1:3" ht="24.75" customHeight="1" hidden="1">
      <c r="A453" s="397" t="s">
        <v>74</v>
      </c>
      <c r="B453" s="398" t="s">
        <v>348</v>
      </c>
      <c r="C453" s="400">
        <f>SUM(C454:C456)</f>
        <v>13</v>
      </c>
    </row>
    <row r="454" spans="1:3" ht="24.75" customHeight="1" hidden="1">
      <c r="A454" s="5" t="s">
        <v>177</v>
      </c>
      <c r="B454" s="34" t="s">
        <v>168</v>
      </c>
      <c r="C454" s="401">
        <v>13</v>
      </c>
    </row>
    <row r="455" spans="1:3" ht="24.75" customHeight="1" hidden="1">
      <c r="A455" s="5" t="s">
        <v>178</v>
      </c>
      <c r="B455" s="34" t="s">
        <v>170</v>
      </c>
      <c r="C455" s="401"/>
    </row>
    <row r="456" spans="1:3" ht="15.75" hidden="1">
      <c r="A456" s="5" t="s">
        <v>179</v>
      </c>
      <c r="B456" s="34" t="s">
        <v>180</v>
      </c>
      <c r="C456" s="401"/>
    </row>
    <row r="457" ht="15.75" hidden="1"/>
    <row r="458" ht="15.75" hidden="1"/>
    <row r="459" ht="15.75" hidden="1"/>
    <row r="460" ht="15.75" hidden="1"/>
    <row r="461" ht="15.75" hidden="1"/>
    <row r="462" ht="15.75" hidden="1"/>
    <row r="463" ht="15.75" hidden="1"/>
    <row r="464" ht="15.75" hidden="1"/>
    <row r="465" ht="15.75" hidden="1"/>
    <row r="466" ht="15.75" customHeight="1" hidden="1"/>
    <row r="467" ht="15.75" hidden="1"/>
    <row r="468" ht="15.75" hidden="1"/>
    <row r="469" spans="1:3" ht="16.5" customHeight="1" hidden="1">
      <c r="A469" s="1502" t="s">
        <v>182</v>
      </c>
      <c r="B469" s="1503"/>
      <c r="C469" s="1503"/>
    </row>
    <row r="470" spans="1:3" ht="18.75" hidden="1">
      <c r="A470" s="1500" t="s">
        <v>70</v>
      </c>
      <c r="B470" s="1501"/>
      <c r="C470" s="387" t="s">
        <v>340</v>
      </c>
    </row>
    <row r="471" spans="1:3" ht="15.75" hidden="1">
      <c r="A471" s="1504" t="s">
        <v>6</v>
      </c>
      <c r="B471" s="1505"/>
      <c r="C471" s="399">
        <v>1</v>
      </c>
    </row>
    <row r="472" spans="1:3" ht="24.75" customHeight="1" hidden="1">
      <c r="A472" s="397" t="s">
        <v>52</v>
      </c>
      <c r="B472" s="398" t="s">
        <v>347</v>
      </c>
      <c r="C472" s="400">
        <f>SUM(C473:C478)</f>
        <v>0</v>
      </c>
    </row>
    <row r="473" spans="1:3" ht="24.75" customHeight="1" hidden="1">
      <c r="A473" s="5" t="s">
        <v>54</v>
      </c>
      <c r="B473" s="34" t="s">
        <v>153</v>
      </c>
      <c r="C473" s="401"/>
    </row>
    <row r="474" spans="1:3" ht="24.75" customHeight="1" hidden="1">
      <c r="A474" s="5" t="s">
        <v>55</v>
      </c>
      <c r="B474" s="34" t="s">
        <v>154</v>
      </c>
      <c r="C474" s="401"/>
    </row>
    <row r="475" spans="1:3" ht="24.75" customHeight="1" hidden="1">
      <c r="A475" s="5" t="s">
        <v>141</v>
      </c>
      <c r="B475" s="34" t="s">
        <v>155</v>
      </c>
      <c r="C475" s="401"/>
    </row>
    <row r="476" spans="1:3" ht="24.75" customHeight="1" hidden="1">
      <c r="A476" s="5" t="s">
        <v>143</v>
      </c>
      <c r="B476" s="34" t="s">
        <v>156</v>
      </c>
      <c r="C476" s="401"/>
    </row>
    <row r="477" spans="1:3" ht="24.75" customHeight="1" hidden="1">
      <c r="A477" s="5" t="s">
        <v>145</v>
      </c>
      <c r="B477" s="34" t="s">
        <v>157</v>
      </c>
      <c r="C477" s="401"/>
    </row>
    <row r="478" spans="1:3" ht="24.75" customHeight="1" hidden="1">
      <c r="A478" s="5" t="s">
        <v>147</v>
      </c>
      <c r="B478" s="34" t="s">
        <v>158</v>
      </c>
      <c r="C478" s="401"/>
    </row>
    <row r="479" spans="1:3" ht="24.75" customHeight="1" hidden="1">
      <c r="A479" s="397" t="s">
        <v>53</v>
      </c>
      <c r="B479" s="398" t="s">
        <v>345</v>
      </c>
      <c r="C479" s="400">
        <f>SUM(C480:C481)</f>
        <v>1</v>
      </c>
    </row>
    <row r="480" spans="1:3" ht="24.75" customHeight="1" hidden="1">
      <c r="A480" s="5" t="s">
        <v>56</v>
      </c>
      <c r="B480" s="34" t="s">
        <v>159</v>
      </c>
      <c r="C480" s="401">
        <v>1</v>
      </c>
    </row>
    <row r="481" spans="1:3" ht="24.75" customHeight="1" hidden="1">
      <c r="A481" s="5" t="s">
        <v>57</v>
      </c>
      <c r="B481" s="34" t="s">
        <v>160</v>
      </c>
      <c r="C481" s="401">
        <v>0</v>
      </c>
    </row>
    <row r="482" spans="1:3" ht="24.75" customHeight="1" hidden="1">
      <c r="A482" s="397" t="s">
        <v>58</v>
      </c>
      <c r="B482" s="398" t="s">
        <v>150</v>
      </c>
      <c r="C482" s="400">
        <f>SUM(C483:C485)</f>
        <v>0</v>
      </c>
    </row>
    <row r="483" spans="1:3" ht="24.75" customHeight="1" hidden="1">
      <c r="A483" s="5" t="s">
        <v>161</v>
      </c>
      <c r="B483" s="37" t="s">
        <v>162</v>
      </c>
      <c r="C483" s="401"/>
    </row>
    <row r="484" spans="1:3" ht="24.75" customHeight="1" hidden="1">
      <c r="A484" s="5" t="s">
        <v>163</v>
      </c>
      <c r="B484" s="34" t="s">
        <v>164</v>
      </c>
      <c r="C484" s="401"/>
    </row>
    <row r="485" spans="1:3" ht="24.75" customHeight="1" hidden="1">
      <c r="A485" s="5" t="s">
        <v>165</v>
      </c>
      <c r="B485" s="34" t="s">
        <v>166</v>
      </c>
      <c r="C485" s="401"/>
    </row>
    <row r="486" spans="1:3" ht="24.75" customHeight="1" hidden="1">
      <c r="A486" s="397" t="s">
        <v>73</v>
      </c>
      <c r="B486" s="398" t="s">
        <v>346</v>
      </c>
      <c r="C486" s="400">
        <f>SUM(C487:C492)</f>
        <v>0</v>
      </c>
    </row>
    <row r="487" spans="1:3" ht="24.75" customHeight="1" hidden="1">
      <c r="A487" s="5" t="s">
        <v>167</v>
      </c>
      <c r="B487" s="34" t="s">
        <v>168</v>
      </c>
      <c r="C487" s="401"/>
    </row>
    <row r="488" spans="1:3" ht="24.75" customHeight="1" hidden="1">
      <c r="A488" s="5" t="s">
        <v>169</v>
      </c>
      <c r="B488" s="34" t="s">
        <v>170</v>
      </c>
      <c r="C488" s="401"/>
    </row>
    <row r="489" spans="1:3" ht="24.75" customHeight="1" hidden="1">
      <c r="A489" s="5" t="s">
        <v>171</v>
      </c>
      <c r="B489" s="34" t="s">
        <v>172</v>
      </c>
      <c r="C489" s="401"/>
    </row>
    <row r="490" spans="1:3" ht="24.75" customHeight="1" hidden="1">
      <c r="A490" s="5" t="s">
        <v>173</v>
      </c>
      <c r="B490" s="34" t="s">
        <v>156</v>
      </c>
      <c r="C490" s="401"/>
    </row>
    <row r="491" spans="1:3" ht="24.75" customHeight="1" hidden="1">
      <c r="A491" s="5" t="s">
        <v>174</v>
      </c>
      <c r="B491" s="34" t="s">
        <v>157</v>
      </c>
      <c r="C491" s="401"/>
    </row>
    <row r="492" spans="1:3" ht="24.75" customHeight="1" hidden="1">
      <c r="A492" s="5" t="s">
        <v>175</v>
      </c>
      <c r="B492" s="34" t="s">
        <v>176</v>
      </c>
      <c r="C492" s="401"/>
    </row>
    <row r="493" spans="1:3" ht="24.75" customHeight="1" hidden="1">
      <c r="A493" s="397" t="s">
        <v>74</v>
      </c>
      <c r="B493" s="398" t="s">
        <v>348</v>
      </c>
      <c r="C493" s="400">
        <f>SUM(C494:C496)</f>
        <v>11</v>
      </c>
    </row>
    <row r="494" spans="1:3" ht="24.75" customHeight="1" hidden="1">
      <c r="A494" s="5" t="s">
        <v>177</v>
      </c>
      <c r="B494" s="34" t="s">
        <v>168</v>
      </c>
      <c r="C494" s="401">
        <v>11</v>
      </c>
    </row>
    <row r="495" spans="1:3" ht="24.75" customHeight="1" hidden="1">
      <c r="A495" s="5" t="s">
        <v>178</v>
      </c>
      <c r="B495" s="34" t="s">
        <v>170</v>
      </c>
      <c r="C495" s="401">
        <v>0</v>
      </c>
    </row>
    <row r="496" spans="1:3" ht="24.75" customHeight="1" hidden="1">
      <c r="A496" s="5" t="s">
        <v>179</v>
      </c>
      <c r="B496" s="34" t="s">
        <v>180</v>
      </c>
      <c r="C496" s="401">
        <v>0</v>
      </c>
    </row>
    <row r="497" ht="15.75" hidden="1"/>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sheetData>
  <sheetProtection/>
  <mergeCells count="39">
    <mergeCell ref="A429:C429"/>
    <mergeCell ref="A352:B352"/>
    <mergeCell ref="A470:B470"/>
    <mergeCell ref="A471:B471"/>
    <mergeCell ref="A430:B430"/>
    <mergeCell ref="A431:B431"/>
    <mergeCell ref="A469:C469"/>
    <mergeCell ref="A353:B353"/>
    <mergeCell ref="A394:B394"/>
    <mergeCell ref="A395:B395"/>
    <mergeCell ref="A315:B315"/>
    <mergeCell ref="A316:B316"/>
    <mergeCell ref="A393:C393"/>
    <mergeCell ref="A351:C351"/>
    <mergeCell ref="A161:B161"/>
    <mergeCell ref="A314:C314"/>
    <mergeCell ref="A119:C119"/>
    <mergeCell ref="A200:B200"/>
    <mergeCell ref="A121:B121"/>
    <mergeCell ref="A159:C159"/>
    <mergeCell ref="A160:B160"/>
    <mergeCell ref="A237:B237"/>
    <mergeCell ref="A238:B238"/>
    <mergeCell ref="A278:B278"/>
    <mergeCell ref="A277:B277"/>
    <mergeCell ref="A236:C236"/>
    <mergeCell ref="A198:C198"/>
    <mergeCell ref="A199:B199"/>
    <mergeCell ref="A276:C276"/>
    <mergeCell ref="A3:B3"/>
    <mergeCell ref="A1:C1"/>
    <mergeCell ref="A2:B2"/>
    <mergeCell ref="A120:B120"/>
    <mergeCell ref="A81:C81"/>
    <mergeCell ref="A43:C43"/>
    <mergeCell ref="A44:B44"/>
    <mergeCell ref="A45:B45"/>
    <mergeCell ref="A82:B82"/>
    <mergeCell ref="A83:B83"/>
  </mergeCells>
  <printOptions/>
  <pageMargins left="0.5" right="0.25" top="0" bottom="0" header="0.56" footer="0.24"/>
  <pageSetup horizontalDpi="1200" verticalDpi="1200" orientation="landscape" paperSize="9" r:id="rId1"/>
</worksheet>
</file>

<file path=xl/worksheets/sheet15.xml><?xml version="1.0" encoding="utf-8"?>
<worksheet xmlns="http://schemas.openxmlformats.org/spreadsheetml/2006/main" xmlns:r="http://schemas.openxmlformats.org/officeDocument/2006/relationships">
  <sheetPr>
    <tabColor indexed="51"/>
  </sheetPr>
  <dimension ref="A1:P27"/>
  <sheetViews>
    <sheetView showZeros="0" view="pageBreakPreview" zoomScaleSheetLayoutView="100" zoomScalePageLayoutView="0" workbookViewId="0" topLeftCell="A8">
      <selection activeCell="P27" sqref="P27"/>
    </sheetView>
  </sheetViews>
  <sheetFormatPr defaultColWidth="9.00390625" defaultRowHeight="15.75"/>
  <cols>
    <col min="1" max="1" width="4.875" style="435"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467" t="s">
        <v>30</v>
      </c>
      <c r="B1" s="1467"/>
      <c r="C1" s="414"/>
      <c r="D1" s="1468" t="s">
        <v>82</v>
      </c>
      <c r="E1" s="1468"/>
      <c r="F1" s="1468"/>
      <c r="G1" s="1468"/>
      <c r="H1" s="1468"/>
      <c r="I1" s="1468"/>
      <c r="J1" s="1468"/>
      <c r="K1" s="1468"/>
      <c r="L1" s="1469" t="s">
        <v>555</v>
      </c>
      <c r="M1" s="1469"/>
      <c r="N1" s="1469"/>
      <c r="O1" s="1469"/>
    </row>
    <row r="2" spans="1:15" ht="16.5" customHeight="1">
      <c r="A2" s="415" t="s">
        <v>342</v>
      </c>
      <c r="B2" s="415"/>
      <c r="C2" s="415"/>
      <c r="D2" s="1468" t="s">
        <v>183</v>
      </c>
      <c r="E2" s="1468"/>
      <c r="F2" s="1468"/>
      <c r="G2" s="1468"/>
      <c r="H2" s="1468"/>
      <c r="I2" s="1468"/>
      <c r="J2" s="1468"/>
      <c r="K2" s="1468"/>
      <c r="L2" s="1470" t="str">
        <f>'Thong tin'!B4</f>
        <v>Cục THADS tỉnh Bình Thuận</v>
      </c>
      <c r="M2" s="1470"/>
      <c r="N2" s="1470"/>
      <c r="O2" s="1470"/>
    </row>
    <row r="3" spans="1:15" ht="16.5" customHeight="1">
      <c r="A3" s="415" t="s">
        <v>343</v>
      </c>
      <c r="B3" s="415"/>
      <c r="C3" s="415"/>
      <c r="D3" s="1471" t="str">
        <f>'Thong tin'!B3</f>
        <v>10 tháng / năm 2016</v>
      </c>
      <c r="E3" s="1471"/>
      <c r="F3" s="1471"/>
      <c r="G3" s="1471"/>
      <c r="H3" s="1471"/>
      <c r="I3" s="1471"/>
      <c r="J3" s="1471"/>
      <c r="K3" s="1471"/>
      <c r="L3" s="1469" t="s">
        <v>763</v>
      </c>
      <c r="M3" s="1469"/>
      <c r="N3" s="1469"/>
      <c r="O3" s="1469"/>
    </row>
    <row r="4" spans="1:15" ht="16.5" customHeight="1">
      <c r="A4" s="433" t="s">
        <v>119</v>
      </c>
      <c r="B4" s="433"/>
      <c r="C4" s="418"/>
      <c r="D4" s="419"/>
      <c r="E4" s="419"/>
      <c r="F4" s="418"/>
      <c r="G4" s="420"/>
      <c r="H4" s="420"/>
      <c r="I4" s="420"/>
      <c r="J4" s="418"/>
      <c r="K4" s="419"/>
      <c r="L4" s="1470" t="s">
        <v>765</v>
      </c>
      <c r="M4" s="1470"/>
      <c r="N4" s="1470"/>
      <c r="O4" s="1470"/>
    </row>
    <row r="5" spans="1:15" ht="16.5" customHeight="1">
      <c r="A5" s="421"/>
      <c r="B5" s="418"/>
      <c r="C5" s="418"/>
      <c r="D5" s="418"/>
      <c r="E5" s="418"/>
      <c r="F5" s="422"/>
      <c r="G5" s="423"/>
      <c r="H5" s="423"/>
      <c r="I5" s="423"/>
      <c r="J5" s="422"/>
      <c r="K5" s="424"/>
      <c r="L5" s="1477" t="s">
        <v>8</v>
      </c>
      <c r="M5" s="1477"/>
      <c r="N5" s="1477"/>
      <c r="O5" s="1477"/>
    </row>
    <row r="6" spans="1:15" ht="18.75" customHeight="1">
      <c r="A6" s="1488" t="s">
        <v>69</v>
      </c>
      <c r="B6" s="1488"/>
      <c r="C6" s="1488" t="s">
        <v>38</v>
      </c>
      <c r="D6" s="1488" t="s">
        <v>337</v>
      </c>
      <c r="E6" s="1488"/>
      <c r="F6" s="1488"/>
      <c r="G6" s="1488"/>
      <c r="H6" s="1488"/>
      <c r="I6" s="1488"/>
      <c r="J6" s="1488"/>
      <c r="K6" s="1488"/>
      <c r="L6" s="1488"/>
      <c r="M6" s="1488"/>
      <c r="N6" s="1488"/>
      <c r="O6" s="1488"/>
    </row>
    <row r="7" spans="1:15" ht="20.25" customHeight="1">
      <c r="A7" s="1488"/>
      <c r="B7" s="1488"/>
      <c r="C7" s="1488"/>
      <c r="D7" s="1508" t="s">
        <v>120</v>
      </c>
      <c r="E7" s="1506" t="s">
        <v>121</v>
      </c>
      <c r="F7" s="1506"/>
      <c r="G7" s="1506"/>
      <c r="H7" s="1506" t="s">
        <v>122</v>
      </c>
      <c r="I7" s="1506" t="s">
        <v>123</v>
      </c>
      <c r="J7" s="1506" t="s">
        <v>124</v>
      </c>
      <c r="K7" s="1506" t="s">
        <v>125</v>
      </c>
      <c r="L7" s="1506" t="s">
        <v>126</v>
      </c>
      <c r="M7" s="1506" t="s">
        <v>127</v>
      </c>
      <c r="N7" s="1506" t="s">
        <v>184</v>
      </c>
      <c r="O7" s="1506" t="s">
        <v>128</v>
      </c>
    </row>
    <row r="8" spans="1:15" ht="19.5" customHeight="1">
      <c r="A8" s="1488"/>
      <c r="B8" s="1488"/>
      <c r="C8" s="1488"/>
      <c r="D8" s="1508"/>
      <c r="E8" s="1506" t="s">
        <v>37</v>
      </c>
      <c r="F8" s="1506" t="s">
        <v>7</v>
      </c>
      <c r="G8" s="1506"/>
      <c r="H8" s="1506"/>
      <c r="I8" s="1506"/>
      <c r="J8" s="1506"/>
      <c r="K8" s="1506"/>
      <c r="L8" s="1506"/>
      <c r="M8" s="1506"/>
      <c r="N8" s="1506"/>
      <c r="O8" s="1506"/>
    </row>
    <row r="9" spans="1:15" ht="39.75" customHeight="1">
      <c r="A9" s="1488"/>
      <c r="B9" s="1488"/>
      <c r="C9" s="1488"/>
      <c r="D9" s="1508"/>
      <c r="E9" s="1506"/>
      <c r="F9" s="516" t="s">
        <v>129</v>
      </c>
      <c r="G9" s="516" t="s">
        <v>130</v>
      </c>
      <c r="H9" s="1506"/>
      <c r="I9" s="1506"/>
      <c r="J9" s="1506"/>
      <c r="K9" s="1506"/>
      <c r="L9" s="1506"/>
      <c r="M9" s="1506"/>
      <c r="N9" s="1506"/>
      <c r="O9" s="1506"/>
    </row>
    <row r="10" spans="1:15" s="393" customFormat="1" ht="17.25" customHeight="1">
      <c r="A10" s="1507" t="s">
        <v>40</v>
      </c>
      <c r="B10" s="1507"/>
      <c r="C10" s="507">
        <v>1</v>
      </c>
      <c r="D10" s="507">
        <v>2</v>
      </c>
      <c r="E10" s="507">
        <v>3</v>
      </c>
      <c r="F10" s="507">
        <v>4</v>
      </c>
      <c r="G10" s="507">
        <v>5</v>
      </c>
      <c r="H10" s="507">
        <v>6</v>
      </c>
      <c r="I10" s="507">
        <v>7</v>
      </c>
      <c r="J10" s="507">
        <v>8</v>
      </c>
      <c r="K10" s="507">
        <v>9</v>
      </c>
      <c r="L10" s="507">
        <v>10</v>
      </c>
      <c r="M10" s="507">
        <v>11</v>
      </c>
      <c r="N10" s="507">
        <v>12</v>
      </c>
      <c r="O10" s="507">
        <v>13</v>
      </c>
    </row>
    <row r="11" spans="1:16" ht="22.5" customHeight="1">
      <c r="A11" s="869" t="s">
        <v>0</v>
      </c>
      <c r="B11" s="870" t="s">
        <v>131</v>
      </c>
      <c r="C11" s="759">
        <f>D11+F11+G11+H11+I11+J11+K11+L11+M11+N11+O11</f>
        <v>4522</v>
      </c>
      <c r="D11" s="759">
        <f aca="true" t="shared" si="0" ref="D11:O11">D12+D13</f>
        <v>3086</v>
      </c>
      <c r="E11" s="759">
        <f t="shared" si="0"/>
        <v>576</v>
      </c>
      <c r="F11" s="759">
        <f t="shared" si="0"/>
        <v>0</v>
      </c>
      <c r="G11" s="759">
        <f t="shared" si="0"/>
        <v>576</v>
      </c>
      <c r="H11" s="759">
        <f t="shared" si="0"/>
        <v>1</v>
      </c>
      <c r="I11" s="759">
        <f t="shared" si="0"/>
        <v>698</v>
      </c>
      <c r="J11" s="759">
        <f t="shared" si="0"/>
        <v>147</v>
      </c>
      <c r="K11" s="759">
        <f t="shared" si="0"/>
        <v>8</v>
      </c>
      <c r="L11" s="759">
        <f t="shared" si="0"/>
        <v>2</v>
      </c>
      <c r="M11" s="759">
        <f t="shared" si="0"/>
        <v>4</v>
      </c>
      <c r="N11" s="759">
        <f t="shared" si="0"/>
        <v>0</v>
      </c>
      <c r="O11" s="759">
        <f t="shared" si="0"/>
        <v>0</v>
      </c>
      <c r="P11" s="888">
        <f>P12+P13</f>
        <v>15733</v>
      </c>
    </row>
    <row r="12" spans="1:16" s="403" customFormat="1" ht="22.5" customHeight="1">
      <c r="A12" s="428">
        <v>1</v>
      </c>
      <c r="B12" s="871" t="s">
        <v>132</v>
      </c>
      <c r="C12" s="759">
        <f aca="true" t="shared" si="1" ref="C12:C25">D12+F12+G12+H12+I12+J12+K12+L12+M12+N12+O12</f>
        <v>2811</v>
      </c>
      <c r="D12" s="860">
        <f>95+504+272+386+71+201+54+233+59+88+34+0-8</f>
        <v>1989</v>
      </c>
      <c r="E12" s="759">
        <f>F12+G12</f>
        <v>305</v>
      </c>
      <c r="F12" s="860">
        <v>0</v>
      </c>
      <c r="G12" s="860">
        <f>47+78+19+30+14+12+7+81+4+10+3</f>
        <v>305</v>
      </c>
      <c r="H12" s="860">
        <v>0</v>
      </c>
      <c r="I12" s="860">
        <f>9+14+20+115+17+60+29+28+19+95+2</f>
        <v>408</v>
      </c>
      <c r="J12" s="860">
        <f>9+2+19+7+4+6+30+23+0</f>
        <v>100</v>
      </c>
      <c r="K12" s="860">
        <v>6</v>
      </c>
      <c r="L12" s="860">
        <v>2</v>
      </c>
      <c r="M12" s="860">
        <v>1</v>
      </c>
      <c r="N12" s="863">
        <v>0</v>
      </c>
      <c r="O12" s="863">
        <v>0</v>
      </c>
      <c r="P12" s="892">
        <f>C12+'01'!C12</f>
        <v>5853</v>
      </c>
    </row>
    <row r="13" spans="1:16" s="403" customFormat="1" ht="22.5" customHeight="1">
      <c r="A13" s="428">
        <v>2</v>
      </c>
      <c r="B13" s="871" t="s">
        <v>133</v>
      </c>
      <c r="C13" s="759">
        <f t="shared" si="1"/>
        <v>1711</v>
      </c>
      <c r="D13" s="863">
        <f>12+94+181+175+52+110+137+108+82+144+2+0</f>
        <v>1097</v>
      </c>
      <c r="E13" s="759">
        <f>F13+G13</f>
        <v>271</v>
      </c>
      <c r="F13" s="863">
        <v>0</v>
      </c>
      <c r="G13" s="863">
        <f>30+39+28+38+32+31+14+33+15+11+0</f>
        <v>271</v>
      </c>
      <c r="H13" s="863">
        <v>1</v>
      </c>
      <c r="I13" s="863">
        <f>5+4+17+51+5+51+15+24+51+67+0</f>
        <v>290</v>
      </c>
      <c r="J13" s="863">
        <v>47</v>
      </c>
      <c r="K13" s="863">
        <v>2</v>
      </c>
      <c r="L13" s="863">
        <v>0</v>
      </c>
      <c r="M13" s="863">
        <v>3</v>
      </c>
      <c r="N13" s="863">
        <v>0</v>
      </c>
      <c r="O13" s="863">
        <v>0</v>
      </c>
      <c r="P13" s="892">
        <f>C13+'01'!C13</f>
        <v>9880</v>
      </c>
    </row>
    <row r="14" spans="1:16" ht="22.5" customHeight="1">
      <c r="A14" s="872" t="s">
        <v>1</v>
      </c>
      <c r="B14" s="873" t="s">
        <v>134</v>
      </c>
      <c r="C14" s="759">
        <f t="shared" si="1"/>
        <v>50</v>
      </c>
      <c r="D14" s="864">
        <v>15</v>
      </c>
      <c r="E14" s="759">
        <f>F14+G14</f>
        <v>28</v>
      </c>
      <c r="F14" s="864">
        <v>0</v>
      </c>
      <c r="G14" s="864">
        <v>28</v>
      </c>
      <c r="H14" s="864">
        <v>0</v>
      </c>
      <c r="I14" s="864">
        <v>7</v>
      </c>
      <c r="J14" s="864">
        <v>0</v>
      </c>
      <c r="K14" s="864">
        <v>0</v>
      </c>
      <c r="L14" s="864">
        <v>0</v>
      </c>
      <c r="M14" s="864">
        <v>0</v>
      </c>
      <c r="N14" s="864">
        <v>0</v>
      </c>
      <c r="O14" s="864">
        <v>0</v>
      </c>
      <c r="P14" s="888">
        <f>C14+'01'!C14</f>
        <v>203</v>
      </c>
    </row>
    <row r="15" spans="1:16" ht="22.5" customHeight="1">
      <c r="A15" s="872" t="s">
        <v>9</v>
      </c>
      <c r="B15" s="873" t="s">
        <v>135</v>
      </c>
      <c r="C15" s="759">
        <f t="shared" si="1"/>
        <v>20</v>
      </c>
      <c r="D15" s="864">
        <v>15</v>
      </c>
      <c r="E15" s="759">
        <f>F15+G15</f>
        <v>0</v>
      </c>
      <c r="F15" s="864">
        <v>0</v>
      </c>
      <c r="G15" s="864">
        <v>0</v>
      </c>
      <c r="H15" s="864">
        <v>0</v>
      </c>
      <c r="I15" s="864">
        <v>0</v>
      </c>
      <c r="J15" s="864">
        <v>5</v>
      </c>
      <c r="K15" s="864">
        <v>0</v>
      </c>
      <c r="L15" s="864">
        <v>0</v>
      </c>
      <c r="M15" s="864">
        <v>0</v>
      </c>
      <c r="N15" s="864">
        <v>0</v>
      </c>
      <c r="O15" s="864">
        <v>0</v>
      </c>
      <c r="P15" s="888">
        <f>C15+'01'!C15</f>
        <v>30</v>
      </c>
    </row>
    <row r="16" spans="1:16" ht="22.5" customHeight="1">
      <c r="A16" s="869" t="s">
        <v>136</v>
      </c>
      <c r="B16" s="874" t="s">
        <v>137</v>
      </c>
      <c r="C16" s="759">
        <f>C17+C25</f>
        <v>4472</v>
      </c>
      <c r="D16" s="759">
        <f aca="true" t="shared" si="2" ref="D16:O16">D17+D25</f>
        <v>3071</v>
      </c>
      <c r="E16" s="759">
        <f>F16+G16</f>
        <v>548</v>
      </c>
      <c r="F16" s="759">
        <f t="shared" si="2"/>
        <v>0</v>
      </c>
      <c r="G16" s="759">
        <f t="shared" si="2"/>
        <v>548</v>
      </c>
      <c r="H16" s="759">
        <f t="shared" si="2"/>
        <v>1</v>
      </c>
      <c r="I16" s="759">
        <f t="shared" si="2"/>
        <v>691</v>
      </c>
      <c r="J16" s="759">
        <f t="shared" si="2"/>
        <v>147</v>
      </c>
      <c r="K16" s="759">
        <f t="shared" si="2"/>
        <v>8</v>
      </c>
      <c r="L16" s="759">
        <f t="shared" si="2"/>
        <v>2</v>
      </c>
      <c r="M16" s="759">
        <f t="shared" si="2"/>
        <v>4</v>
      </c>
      <c r="N16" s="759">
        <f t="shared" si="2"/>
        <v>0</v>
      </c>
      <c r="O16" s="759">
        <f t="shared" si="2"/>
        <v>0</v>
      </c>
      <c r="P16" s="888">
        <f>P17+P25</f>
        <v>15530</v>
      </c>
    </row>
    <row r="17" spans="1:16" ht="22.5" customHeight="1">
      <c r="A17" s="869" t="s">
        <v>52</v>
      </c>
      <c r="B17" s="874" t="s">
        <v>138</v>
      </c>
      <c r="C17" s="759">
        <f t="shared" si="1"/>
        <v>4044</v>
      </c>
      <c r="D17" s="866">
        <f>D18+D19+D20+D21+D22+D23+D24</f>
        <v>2800</v>
      </c>
      <c r="E17" s="759">
        <f aca="true" t="shared" si="3" ref="E17:E25">F17+G17</f>
        <v>454</v>
      </c>
      <c r="F17" s="866">
        <f>F18+F19+F20+F21+F22+F23+F24</f>
        <v>0</v>
      </c>
      <c r="G17" s="866">
        <f aca="true" t="shared" si="4" ref="G17:O17">G18+G19+G20+G21+G22+G23+G24</f>
        <v>454</v>
      </c>
      <c r="H17" s="866">
        <f t="shared" si="4"/>
        <v>1</v>
      </c>
      <c r="I17" s="866">
        <f t="shared" si="4"/>
        <v>643</v>
      </c>
      <c r="J17" s="866">
        <f t="shared" si="4"/>
        <v>132</v>
      </c>
      <c r="K17" s="866">
        <f t="shared" si="4"/>
        <v>8</v>
      </c>
      <c r="L17" s="866">
        <f t="shared" si="4"/>
        <v>2</v>
      </c>
      <c r="M17" s="866">
        <f t="shared" si="4"/>
        <v>4</v>
      </c>
      <c r="N17" s="866">
        <f t="shared" si="4"/>
        <v>0</v>
      </c>
      <c r="O17" s="866">
        <f t="shared" si="4"/>
        <v>0</v>
      </c>
      <c r="P17" s="888">
        <f>P18+P19+P20+P21+P22+P23+P2+P24</f>
        <v>13657</v>
      </c>
    </row>
    <row r="18" spans="1:16" ht="19.5" customHeight="1">
      <c r="A18" s="428" t="s">
        <v>54</v>
      </c>
      <c r="B18" s="871" t="s">
        <v>139</v>
      </c>
      <c r="C18" s="759">
        <f t="shared" si="1"/>
        <v>523</v>
      </c>
      <c r="D18" s="867">
        <f>3+24+13+16+34+47+13+101+16+29+14+0</f>
        <v>310</v>
      </c>
      <c r="E18" s="759">
        <f t="shared" si="3"/>
        <v>111</v>
      </c>
      <c r="F18" s="867">
        <v>0</v>
      </c>
      <c r="G18" s="867">
        <f>3+1+4+4+21+15+30+5+17+11</f>
        <v>111</v>
      </c>
      <c r="H18" s="867">
        <v>0</v>
      </c>
      <c r="I18" s="867">
        <f>1+34+19+5+3+11+10+1+3</f>
        <v>87</v>
      </c>
      <c r="J18" s="867">
        <v>14</v>
      </c>
      <c r="K18" s="867">
        <v>1</v>
      </c>
      <c r="L18" s="867">
        <v>0</v>
      </c>
      <c r="M18" s="867">
        <v>0</v>
      </c>
      <c r="N18" s="867">
        <v>0</v>
      </c>
      <c r="O18" s="867">
        <v>0</v>
      </c>
      <c r="P18" s="888">
        <f>C18+'01'!C18</f>
        <v>7793</v>
      </c>
    </row>
    <row r="19" spans="1:16" ht="19.5" customHeight="1">
      <c r="A19" s="428" t="s">
        <v>55</v>
      </c>
      <c r="B19" s="871" t="s">
        <v>140</v>
      </c>
      <c r="C19" s="759">
        <f t="shared" si="1"/>
        <v>238</v>
      </c>
      <c r="D19" s="867">
        <f>10+50+24+29+2+13+7+4+7+7+3</f>
        <v>156</v>
      </c>
      <c r="E19" s="759">
        <f t="shared" si="3"/>
        <v>13</v>
      </c>
      <c r="F19" s="867">
        <v>0</v>
      </c>
      <c r="G19" s="867">
        <v>13</v>
      </c>
      <c r="H19" s="867">
        <v>0</v>
      </c>
      <c r="I19" s="867">
        <f>58</f>
        <v>58</v>
      </c>
      <c r="J19" s="867">
        <v>11</v>
      </c>
      <c r="K19" s="867">
        <v>0</v>
      </c>
      <c r="L19" s="867">
        <v>0</v>
      </c>
      <c r="M19" s="867">
        <v>0</v>
      </c>
      <c r="N19" s="867">
        <v>0</v>
      </c>
      <c r="O19" s="867">
        <v>0</v>
      </c>
      <c r="P19" s="888">
        <f>C19+'01'!C19</f>
        <v>299</v>
      </c>
    </row>
    <row r="20" spans="1:16" ht="19.5" customHeight="1">
      <c r="A20" s="428" t="s">
        <v>141</v>
      </c>
      <c r="B20" s="871" t="s">
        <v>142</v>
      </c>
      <c r="C20" s="759">
        <f t="shared" si="1"/>
        <v>2983</v>
      </c>
      <c r="D20" s="867">
        <f>24+150+113+279+129+233+100+342+204+424+65+0</f>
        <v>2063</v>
      </c>
      <c r="E20" s="759">
        <f t="shared" si="3"/>
        <v>325</v>
      </c>
      <c r="F20" s="867">
        <v>0</v>
      </c>
      <c r="G20" s="867">
        <f>58+67+25+22+13+15+13+97+7+9+3-4</f>
        <v>325</v>
      </c>
      <c r="H20" s="867">
        <v>0</v>
      </c>
      <c r="I20" s="867">
        <f>10+12+28+133+19+81+32+37+43+93+1</f>
        <v>489</v>
      </c>
      <c r="J20" s="867">
        <f>94-1+3</f>
        <v>96</v>
      </c>
      <c r="K20" s="867">
        <v>7</v>
      </c>
      <c r="L20" s="867">
        <v>0</v>
      </c>
      <c r="M20" s="867">
        <v>3</v>
      </c>
      <c r="N20" s="867">
        <v>0</v>
      </c>
      <c r="O20" s="867">
        <v>0</v>
      </c>
      <c r="P20" s="888">
        <f>C20+'01'!C20</f>
        <v>5105</v>
      </c>
    </row>
    <row r="21" spans="1:16" ht="19.5" customHeight="1">
      <c r="A21" s="428" t="s">
        <v>143</v>
      </c>
      <c r="B21" s="871" t="s">
        <v>144</v>
      </c>
      <c r="C21" s="759">
        <f t="shared" si="1"/>
        <v>79</v>
      </c>
      <c r="D21" s="863">
        <f>10+22+4+24+3+3+1+1+1+4+0</f>
        <v>73</v>
      </c>
      <c r="E21" s="759">
        <f t="shared" si="3"/>
        <v>0</v>
      </c>
      <c r="F21" s="863">
        <v>0</v>
      </c>
      <c r="G21" s="863">
        <v>0</v>
      </c>
      <c r="H21" s="863">
        <v>0</v>
      </c>
      <c r="I21" s="863">
        <v>5</v>
      </c>
      <c r="J21" s="863">
        <v>1</v>
      </c>
      <c r="K21" s="863">
        <v>0</v>
      </c>
      <c r="L21" s="863">
        <v>0</v>
      </c>
      <c r="M21" s="867">
        <v>0</v>
      </c>
      <c r="N21" s="867">
        <v>0</v>
      </c>
      <c r="O21" s="867">
        <v>0</v>
      </c>
      <c r="P21" s="888">
        <f>C21+'01'!C21</f>
        <v>105</v>
      </c>
    </row>
    <row r="22" spans="1:16" ht="19.5" customHeight="1">
      <c r="A22" s="428" t="s">
        <v>145</v>
      </c>
      <c r="B22" s="871" t="s">
        <v>146</v>
      </c>
      <c r="C22" s="759">
        <f t="shared" si="1"/>
        <v>13</v>
      </c>
      <c r="D22" s="867">
        <v>11</v>
      </c>
      <c r="E22" s="759">
        <f t="shared" si="3"/>
        <v>0</v>
      </c>
      <c r="F22" s="867">
        <v>0</v>
      </c>
      <c r="G22" s="867">
        <v>0</v>
      </c>
      <c r="H22" s="867">
        <v>1</v>
      </c>
      <c r="I22" s="867">
        <v>0</v>
      </c>
      <c r="J22" s="867">
        <v>1</v>
      </c>
      <c r="K22" s="867">
        <v>0</v>
      </c>
      <c r="L22" s="867">
        <v>0</v>
      </c>
      <c r="M22" s="867">
        <v>0</v>
      </c>
      <c r="N22" s="867">
        <v>0</v>
      </c>
      <c r="O22" s="867">
        <v>0</v>
      </c>
      <c r="P22" s="888">
        <f>C22+'01'!C22</f>
        <v>18</v>
      </c>
    </row>
    <row r="23" spans="1:16" ht="24" customHeight="1">
      <c r="A23" s="428" t="s">
        <v>147</v>
      </c>
      <c r="B23" s="431" t="s">
        <v>148</v>
      </c>
      <c r="C23" s="759">
        <f t="shared" si="1"/>
        <v>10</v>
      </c>
      <c r="D23" s="867">
        <v>10</v>
      </c>
      <c r="E23" s="759">
        <f t="shared" si="3"/>
        <v>0</v>
      </c>
      <c r="F23" s="867">
        <v>0</v>
      </c>
      <c r="G23" s="867">
        <v>0</v>
      </c>
      <c r="H23" s="867">
        <v>0</v>
      </c>
      <c r="I23" s="867">
        <v>0</v>
      </c>
      <c r="J23" s="867">
        <v>0</v>
      </c>
      <c r="K23" s="867">
        <v>0</v>
      </c>
      <c r="L23" s="867">
        <v>0</v>
      </c>
      <c r="M23" s="867">
        <v>0</v>
      </c>
      <c r="N23" s="867">
        <v>0</v>
      </c>
      <c r="O23" s="867">
        <v>0</v>
      </c>
      <c r="P23" s="888">
        <f>C23+'01'!C23</f>
        <v>10</v>
      </c>
    </row>
    <row r="24" spans="1:16" ht="19.5" customHeight="1">
      <c r="A24" s="428" t="s">
        <v>149</v>
      </c>
      <c r="B24" s="871" t="s">
        <v>150</v>
      </c>
      <c r="C24" s="759">
        <f t="shared" si="1"/>
        <v>198</v>
      </c>
      <c r="D24" s="863">
        <f>27+134+9+1+5+1+0</f>
        <v>177</v>
      </c>
      <c r="E24" s="759">
        <f t="shared" si="3"/>
        <v>5</v>
      </c>
      <c r="F24" s="863">
        <v>0</v>
      </c>
      <c r="G24" s="863">
        <v>5</v>
      </c>
      <c r="H24" s="863">
        <v>0</v>
      </c>
      <c r="I24" s="863">
        <v>4</v>
      </c>
      <c r="J24" s="863">
        <v>9</v>
      </c>
      <c r="K24" s="863">
        <v>0</v>
      </c>
      <c r="L24" s="863">
        <v>2</v>
      </c>
      <c r="M24" s="867">
        <v>1</v>
      </c>
      <c r="N24" s="867">
        <v>0</v>
      </c>
      <c r="O24" s="867">
        <v>0</v>
      </c>
      <c r="P24" s="888">
        <f>C24+'01'!C24</f>
        <v>327</v>
      </c>
    </row>
    <row r="25" spans="1:16" ht="22.5" customHeight="1">
      <c r="A25" s="869" t="s">
        <v>53</v>
      </c>
      <c r="B25" s="874" t="s">
        <v>151</v>
      </c>
      <c r="C25" s="759">
        <f t="shared" si="1"/>
        <v>428</v>
      </c>
      <c r="D25" s="759">
        <f>6+47+5+38+19+9+2+46+61+35+3+0</f>
        <v>271</v>
      </c>
      <c r="E25" s="759">
        <f t="shared" si="3"/>
        <v>94</v>
      </c>
      <c r="F25" s="759">
        <v>0</v>
      </c>
      <c r="G25" s="759">
        <f>14+11+1+6+16+13+11+16+6</f>
        <v>94</v>
      </c>
      <c r="H25" s="759">
        <v>0</v>
      </c>
      <c r="I25" s="759">
        <f>9+1+3+5+12+11+4+3+0</f>
        <v>48</v>
      </c>
      <c r="J25" s="759">
        <f>15</f>
        <v>15</v>
      </c>
      <c r="K25" s="759">
        <v>0</v>
      </c>
      <c r="L25" s="759">
        <v>0</v>
      </c>
      <c r="M25" s="759">
        <v>0</v>
      </c>
      <c r="N25" s="868">
        <v>0</v>
      </c>
      <c r="O25" s="868">
        <v>0</v>
      </c>
      <c r="P25" s="888">
        <f>C25+'01'!C25</f>
        <v>1873</v>
      </c>
    </row>
    <row r="26" spans="1:16" ht="32.25" customHeight="1">
      <c r="A26" s="852" t="s">
        <v>553</v>
      </c>
      <c r="B26" s="875" t="s">
        <v>152</v>
      </c>
      <c r="C26" s="857">
        <f>(C18+C19)/C17</f>
        <v>0.18818001978239368</v>
      </c>
      <c r="D26" s="857">
        <f aca="true" t="shared" si="5" ref="D26:O26">(D18+D19)/D17</f>
        <v>0.16642857142857143</v>
      </c>
      <c r="E26" s="857">
        <f t="shared" si="5"/>
        <v>0.27312775330396477</v>
      </c>
      <c r="F26" s="857" t="e">
        <f t="shared" si="5"/>
        <v>#DIV/0!</v>
      </c>
      <c r="G26" s="857">
        <f t="shared" si="5"/>
        <v>0.27312775330396477</v>
      </c>
      <c r="H26" s="857">
        <f t="shared" si="5"/>
        <v>0</v>
      </c>
      <c r="I26" s="857">
        <f t="shared" si="5"/>
        <v>0.2255054432348367</v>
      </c>
      <c r="J26" s="857">
        <f t="shared" si="5"/>
        <v>0.1893939393939394</v>
      </c>
      <c r="K26" s="857">
        <f t="shared" si="5"/>
        <v>0.125</v>
      </c>
      <c r="L26" s="857">
        <f t="shared" si="5"/>
        <v>0</v>
      </c>
      <c r="M26" s="857">
        <f t="shared" si="5"/>
        <v>0</v>
      </c>
      <c r="N26" s="857" t="e">
        <f t="shared" si="5"/>
        <v>#DIV/0!</v>
      </c>
      <c r="O26" s="857" t="e">
        <f t="shared" si="5"/>
        <v>#DIV/0!</v>
      </c>
      <c r="P26" s="888">
        <f>P25+P24+P23+P22+P21+P20</f>
        <v>7438</v>
      </c>
    </row>
    <row r="27" spans="3:15" ht="15">
      <c r="C27" s="888">
        <f>C25+C17+C14-C11</f>
        <v>0</v>
      </c>
      <c r="D27" s="888">
        <f aca="true" t="shared" si="6" ref="D27:O27">D25+D17+D14-D11</f>
        <v>0</v>
      </c>
      <c r="E27" s="888">
        <f t="shared" si="6"/>
        <v>0</v>
      </c>
      <c r="F27" s="888">
        <f t="shared" si="6"/>
        <v>0</v>
      </c>
      <c r="G27" s="888">
        <f t="shared" si="6"/>
        <v>0</v>
      </c>
      <c r="H27" s="888">
        <f t="shared" si="6"/>
        <v>0</v>
      </c>
      <c r="I27" s="888">
        <f t="shared" si="6"/>
        <v>0</v>
      </c>
      <c r="J27" s="888">
        <f t="shared" si="6"/>
        <v>0</v>
      </c>
      <c r="K27" s="888">
        <f t="shared" si="6"/>
        <v>0</v>
      </c>
      <c r="L27" s="888">
        <f t="shared" si="6"/>
        <v>0</v>
      </c>
      <c r="M27" s="888">
        <f t="shared" si="6"/>
        <v>0</v>
      </c>
      <c r="N27" s="888">
        <f t="shared" si="6"/>
        <v>0</v>
      </c>
      <c r="O27" s="888">
        <f t="shared" si="6"/>
        <v>0</v>
      </c>
    </row>
    <row r="31" ht="15"/>
  </sheetData>
  <sheetProtection/>
  <mergeCells count="25">
    <mergeCell ref="A1:B1"/>
    <mergeCell ref="D1:K1"/>
    <mergeCell ref="D2:K2"/>
    <mergeCell ref="A6:B9"/>
    <mergeCell ref="C6:C9"/>
    <mergeCell ref="E7:G7"/>
    <mergeCell ref="H7:H9"/>
    <mergeCell ref="J7:J9"/>
    <mergeCell ref="K7:K9"/>
    <mergeCell ref="D3:K3"/>
    <mergeCell ref="A10:B10"/>
    <mergeCell ref="F8:G8"/>
    <mergeCell ref="E8:E9"/>
    <mergeCell ref="D6:O6"/>
    <mergeCell ref="N7:N9"/>
    <mergeCell ref="D7:D9"/>
    <mergeCell ref="O7:O9"/>
    <mergeCell ref="L7:L9"/>
    <mergeCell ref="I7:I9"/>
    <mergeCell ref="L1:O1"/>
    <mergeCell ref="L2:O2"/>
    <mergeCell ref="L3:O3"/>
    <mergeCell ref="M7:M9"/>
    <mergeCell ref="L4:O4"/>
    <mergeCell ref="L5:O5"/>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D40"/>
  <sheetViews>
    <sheetView showZeros="0" view="pageBreakPreview" zoomScaleNormal="80" zoomScaleSheetLayoutView="100" zoomScalePageLayoutView="0" workbookViewId="0" topLeftCell="A1">
      <selection activeCell="C19" sqref="C19"/>
    </sheetView>
  </sheetViews>
  <sheetFormatPr defaultColWidth="9.00390625" defaultRowHeight="15.75"/>
  <cols>
    <col min="1" max="1" width="4.25390625" style="421" customWidth="1"/>
    <col min="2" max="2" width="71.125" style="421" customWidth="1"/>
    <col min="3" max="3" width="51.125" style="421" customWidth="1"/>
    <col min="4" max="16384" width="9.00390625" style="421" customWidth="1"/>
  </cols>
  <sheetData>
    <row r="1" spans="1:3" s="435" customFormat="1" ht="28.5" customHeight="1">
      <c r="A1" s="1511" t="s">
        <v>569</v>
      </c>
      <c r="B1" s="1512"/>
      <c r="C1" s="1512"/>
    </row>
    <row r="2" spans="1:3" ht="14.25" customHeight="1">
      <c r="A2" s="1513" t="s">
        <v>70</v>
      </c>
      <c r="B2" s="1514"/>
      <c r="C2" s="896" t="s">
        <v>770</v>
      </c>
    </row>
    <row r="3" spans="1:3" s="437" customFormat="1" ht="11.25" customHeight="1">
      <c r="A3" s="1513" t="s">
        <v>6</v>
      </c>
      <c r="B3" s="1514"/>
      <c r="C3" s="436">
        <v>1</v>
      </c>
    </row>
    <row r="4" spans="1:4" s="438" customFormat="1" ht="14.25" customHeight="1">
      <c r="A4" s="897" t="s">
        <v>52</v>
      </c>
      <c r="B4" s="898" t="s">
        <v>567</v>
      </c>
      <c r="C4" s="893">
        <f>'02'!C21</f>
        <v>79</v>
      </c>
      <c r="D4" s="884">
        <f>C5+C6+C7+C8+C9+C10+C11+C12+C13-C4</f>
        <v>0</v>
      </c>
    </row>
    <row r="5" spans="1:4" s="26" customFormat="1" ht="12.75" customHeight="1">
      <c r="A5" s="436" t="s">
        <v>54</v>
      </c>
      <c r="B5" s="899" t="s">
        <v>168</v>
      </c>
      <c r="C5" s="863">
        <v>7</v>
      </c>
      <c r="D5" s="883"/>
    </row>
    <row r="6" spans="1:4" s="26" customFormat="1" ht="13.5" customHeight="1">
      <c r="A6" s="436" t="s">
        <v>55</v>
      </c>
      <c r="B6" s="899" t="s">
        <v>170</v>
      </c>
      <c r="C6" s="863">
        <v>22</v>
      </c>
      <c r="D6" s="883"/>
    </row>
    <row r="7" spans="1:4" s="26" customFormat="1" ht="13.5" customHeight="1">
      <c r="A7" s="436" t="s">
        <v>141</v>
      </c>
      <c r="B7" s="899" t="s">
        <v>180</v>
      </c>
      <c r="C7" s="863">
        <v>17</v>
      </c>
      <c r="D7" s="883"/>
    </row>
    <row r="8" spans="1:4" s="26" customFormat="1" ht="14.25" customHeight="1">
      <c r="A8" s="436" t="s">
        <v>143</v>
      </c>
      <c r="B8" s="899" t="s">
        <v>172</v>
      </c>
      <c r="C8" s="863">
        <v>29</v>
      </c>
      <c r="D8" s="883"/>
    </row>
    <row r="9" spans="1:4" s="26" customFormat="1" ht="12.75" customHeight="1">
      <c r="A9" s="436" t="s">
        <v>145</v>
      </c>
      <c r="B9" s="899" t="s">
        <v>156</v>
      </c>
      <c r="C9" s="863">
        <v>4</v>
      </c>
      <c r="D9" s="883"/>
    </row>
    <row r="10" spans="1:4" s="26" customFormat="1" ht="12" customHeight="1">
      <c r="A10" s="436" t="s">
        <v>147</v>
      </c>
      <c r="B10" s="899" t="s">
        <v>185</v>
      </c>
      <c r="C10" s="863">
        <v>0</v>
      </c>
      <c r="D10" s="883"/>
    </row>
    <row r="11" spans="1:4" s="26" customFormat="1" ht="11.25" customHeight="1">
      <c r="A11" s="436" t="s">
        <v>149</v>
      </c>
      <c r="B11" s="899" t="s">
        <v>158</v>
      </c>
      <c r="C11" s="863">
        <v>0</v>
      </c>
      <c r="D11" s="883"/>
    </row>
    <row r="12" spans="1:4" s="439" customFormat="1" ht="12" customHeight="1">
      <c r="A12" s="436" t="s">
        <v>186</v>
      </c>
      <c r="B12" s="899" t="s">
        <v>187</v>
      </c>
      <c r="C12" s="894">
        <v>0</v>
      </c>
      <c r="D12" s="902"/>
    </row>
    <row r="13" spans="1:4" s="439" customFormat="1" ht="14.25" customHeight="1">
      <c r="A13" s="436" t="s">
        <v>573</v>
      </c>
      <c r="B13" s="899" t="s">
        <v>160</v>
      </c>
      <c r="C13" s="894">
        <v>0</v>
      </c>
      <c r="D13" s="902"/>
    </row>
    <row r="14" spans="1:4" s="439" customFormat="1" ht="13.5" customHeight="1">
      <c r="A14" s="897" t="s">
        <v>53</v>
      </c>
      <c r="B14" s="898" t="s">
        <v>565</v>
      </c>
      <c r="C14" s="759">
        <f>'02'!C22</f>
        <v>13</v>
      </c>
      <c r="D14" s="902">
        <f>C15+C16-C14</f>
        <v>0</v>
      </c>
    </row>
    <row r="15" spans="1:4" s="439" customFormat="1" ht="12.75" customHeight="1">
      <c r="A15" s="436" t="s">
        <v>56</v>
      </c>
      <c r="B15" s="899" t="s">
        <v>188</v>
      </c>
      <c r="C15" s="863">
        <v>13</v>
      </c>
      <c r="D15" s="902"/>
    </row>
    <row r="16" spans="1:4" s="439" customFormat="1" ht="15.75" customHeight="1">
      <c r="A16" s="436" t="s">
        <v>57</v>
      </c>
      <c r="B16" s="899" t="s">
        <v>160</v>
      </c>
      <c r="C16" s="863">
        <v>0</v>
      </c>
      <c r="D16" s="902"/>
    </row>
    <row r="17" spans="1:4" s="438" customFormat="1" ht="12.75" customHeight="1">
      <c r="A17" s="897" t="s">
        <v>58</v>
      </c>
      <c r="B17" s="898" t="s">
        <v>150</v>
      </c>
      <c r="C17" s="759">
        <f>'02'!C24</f>
        <v>198</v>
      </c>
      <c r="D17" s="884">
        <f>C18+C19+C20-C17</f>
        <v>0</v>
      </c>
    </row>
    <row r="18" spans="1:4" s="26" customFormat="1" ht="15" customHeight="1">
      <c r="A18" s="436" t="s">
        <v>161</v>
      </c>
      <c r="B18" s="899" t="s">
        <v>189</v>
      </c>
      <c r="C18" s="863">
        <v>125</v>
      </c>
      <c r="D18" s="883"/>
    </row>
    <row r="19" spans="1:4" s="26" customFormat="1" ht="18" customHeight="1">
      <c r="A19" s="436" t="s">
        <v>163</v>
      </c>
      <c r="B19" s="899" t="s">
        <v>164</v>
      </c>
      <c r="C19" s="863">
        <f>22+20+3+0</f>
        <v>45</v>
      </c>
      <c r="D19" s="883"/>
    </row>
    <row r="20" spans="1:4" s="26" customFormat="1" ht="15.75" customHeight="1">
      <c r="A20" s="436" t="s">
        <v>165</v>
      </c>
      <c r="B20" s="899" t="s">
        <v>166</v>
      </c>
      <c r="C20" s="863">
        <v>28</v>
      </c>
      <c r="D20" s="883"/>
    </row>
    <row r="21" spans="1:4" s="26" customFormat="1" ht="14.25" customHeight="1">
      <c r="A21" s="897" t="s">
        <v>73</v>
      </c>
      <c r="B21" s="898" t="s">
        <v>562</v>
      </c>
      <c r="C21" s="759">
        <f>'02'!C19</f>
        <v>238</v>
      </c>
      <c r="D21" s="883">
        <f>C22+C23+C24+C25+C26+C27+C28-C21</f>
        <v>0</v>
      </c>
    </row>
    <row r="22" spans="1:4" s="26" customFormat="1" ht="14.25" customHeight="1">
      <c r="A22" s="436" t="s">
        <v>167</v>
      </c>
      <c r="B22" s="899" t="s">
        <v>168</v>
      </c>
      <c r="C22" s="863">
        <v>0</v>
      </c>
      <c r="D22" s="883"/>
    </row>
    <row r="23" spans="1:4" s="26" customFormat="1" ht="13.5" customHeight="1">
      <c r="A23" s="436" t="s">
        <v>169</v>
      </c>
      <c r="B23" s="899" t="s">
        <v>170</v>
      </c>
      <c r="C23" s="863">
        <v>15</v>
      </c>
      <c r="D23" s="883"/>
    </row>
    <row r="24" spans="1:4" s="26" customFormat="1" ht="13.5" customHeight="1">
      <c r="A24" s="436" t="s">
        <v>171</v>
      </c>
      <c r="B24" s="899" t="s">
        <v>190</v>
      </c>
      <c r="C24" s="863">
        <v>203</v>
      </c>
      <c r="D24" s="883"/>
    </row>
    <row r="25" spans="1:4" s="26" customFormat="1" ht="14.25" customHeight="1">
      <c r="A25" s="436" t="s">
        <v>173</v>
      </c>
      <c r="B25" s="899" t="s">
        <v>155</v>
      </c>
      <c r="C25" s="863">
        <v>0</v>
      </c>
      <c r="D25" s="883"/>
    </row>
    <row r="26" spans="1:4" s="26" customFormat="1" ht="13.5" customHeight="1">
      <c r="A26" s="436" t="s">
        <v>174</v>
      </c>
      <c r="B26" s="899" t="s">
        <v>191</v>
      </c>
      <c r="C26" s="863">
        <v>20</v>
      </c>
      <c r="D26" s="883"/>
    </row>
    <row r="27" spans="1:4" s="26" customFormat="1" ht="13.5" customHeight="1">
      <c r="A27" s="436" t="s">
        <v>175</v>
      </c>
      <c r="B27" s="899" t="s">
        <v>158</v>
      </c>
      <c r="C27" s="863">
        <v>0</v>
      </c>
      <c r="D27" s="883"/>
    </row>
    <row r="28" spans="1:4" s="26" customFormat="1" ht="14.25" customHeight="1">
      <c r="A28" s="436" t="s">
        <v>192</v>
      </c>
      <c r="B28" s="899" t="s">
        <v>193</v>
      </c>
      <c r="C28" s="863">
        <v>0</v>
      </c>
      <c r="D28" s="883"/>
    </row>
    <row r="29" spans="1:4" s="26" customFormat="1" ht="14.25" customHeight="1">
      <c r="A29" s="897" t="s">
        <v>74</v>
      </c>
      <c r="B29" s="898" t="s">
        <v>566</v>
      </c>
      <c r="C29" s="759">
        <f>'02'!C25</f>
        <v>428</v>
      </c>
      <c r="D29" s="883">
        <f>C32+C31+C30-C29</f>
        <v>0</v>
      </c>
    </row>
    <row r="30" spans="1:4" ht="15.75" customHeight="1">
      <c r="A30" s="436" t="s">
        <v>177</v>
      </c>
      <c r="B30" s="899" t="s">
        <v>168</v>
      </c>
      <c r="C30" s="863">
        <v>422</v>
      </c>
      <c r="D30" s="903"/>
    </row>
    <row r="31" spans="1:4" s="26" customFormat="1" ht="15" customHeight="1">
      <c r="A31" s="436" t="s">
        <v>178</v>
      </c>
      <c r="B31" s="899" t="s">
        <v>170</v>
      </c>
      <c r="C31" s="863">
        <v>1</v>
      </c>
      <c r="D31" s="883"/>
    </row>
    <row r="32" spans="1:4" s="26" customFormat="1" ht="12" customHeight="1" thickBot="1">
      <c r="A32" s="900" t="s">
        <v>179</v>
      </c>
      <c r="B32" s="901" t="s">
        <v>190</v>
      </c>
      <c r="C32" s="895">
        <v>5</v>
      </c>
      <c r="D32" s="883"/>
    </row>
    <row r="33" spans="1:3" s="26" customFormat="1" ht="16.5" customHeight="1" thickTop="1">
      <c r="A33" s="1515"/>
      <c r="B33" s="1515"/>
      <c r="C33" s="990" t="str">
        <f>'Thong tin'!B9</f>
        <v>Bình Thuận, ngày 04 tháng 8 năm 2016</v>
      </c>
    </row>
    <row r="34" spans="1:3" s="26" customFormat="1" ht="16.5">
      <c r="A34" s="1510" t="s">
        <v>4</v>
      </c>
      <c r="B34" s="1510"/>
      <c r="C34" s="983" t="str">
        <f>'Thong tin'!B7</f>
        <v>KT. CỤC TRƯỞNG</v>
      </c>
    </row>
    <row r="35" spans="1:3" s="26" customFormat="1" ht="16.5">
      <c r="A35" s="987"/>
      <c r="B35" s="986"/>
      <c r="C35" s="983" t="str">
        <f>'Thong tin'!B8</f>
        <v>PHÓ CỤC TRƯỞNG</v>
      </c>
    </row>
    <row r="36" spans="1:3" s="26" customFormat="1" ht="12" customHeight="1">
      <c r="A36" s="987"/>
      <c r="B36" s="986"/>
      <c r="C36" s="986"/>
    </row>
    <row r="37" spans="1:3" s="26" customFormat="1" ht="16.5">
      <c r="A37" s="987"/>
      <c r="B37" s="987"/>
      <c r="C37" s="987"/>
    </row>
    <row r="38" spans="1:3" ht="16.5">
      <c r="A38" s="989"/>
      <c r="B38" s="986"/>
      <c r="C38" s="984"/>
    </row>
    <row r="39" spans="1:3" ht="16.5">
      <c r="A39" s="984"/>
      <c r="B39" s="984"/>
      <c r="C39" s="984"/>
    </row>
    <row r="40" spans="1:3" s="438" customFormat="1" ht="16.5">
      <c r="A40" s="1509" t="str">
        <f>'Thong tin'!B5</f>
        <v>Trần Quốc Bảo</v>
      </c>
      <c r="B40" s="1509"/>
      <c r="C40" s="982" t="str">
        <f>'Thong tin'!B6</f>
        <v>Trần Nam</v>
      </c>
    </row>
  </sheetData>
  <sheetProtection/>
  <mergeCells count="6">
    <mergeCell ref="A40:B40"/>
    <mergeCell ref="A34:B34"/>
    <mergeCell ref="A1:C1"/>
    <mergeCell ref="A2:B2"/>
    <mergeCell ref="A3:B3"/>
    <mergeCell ref="A33:B33"/>
  </mergeCells>
  <printOptions/>
  <pageMargins left="0" right="0" top="0" bottom="0" header="0.47" footer="0.2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SheetLayoutView="100" zoomScalePageLayoutView="0" workbookViewId="0" topLeftCell="A1">
      <selection activeCell="F13" sqref="F13"/>
    </sheetView>
  </sheetViews>
  <sheetFormatPr defaultColWidth="9.00390625" defaultRowHeight="15.75"/>
  <cols>
    <col min="1" max="1" width="4.125" style="435" customWidth="1"/>
    <col min="2" max="2" width="22.625" style="388" customWidth="1"/>
    <col min="3" max="3" width="10.625" style="388" customWidth="1"/>
    <col min="4" max="4" width="10.75390625" style="388" customWidth="1"/>
    <col min="5" max="5" width="10.375" style="388" customWidth="1"/>
    <col min="6" max="6" width="9.50390625" style="388" bestFit="1" customWidth="1"/>
    <col min="7" max="7" width="10.375" style="388" customWidth="1"/>
    <col min="8" max="8" width="8.25390625" style="388" customWidth="1"/>
    <col min="9" max="9" width="10.125" style="388" customWidth="1"/>
    <col min="10" max="10" width="11.125" style="388" customWidth="1"/>
    <col min="11" max="14" width="8.25390625" style="388" customWidth="1"/>
    <col min="15" max="16384" width="9.00390625" style="388" customWidth="1"/>
  </cols>
  <sheetData>
    <row r="1" spans="1:16" ht="23.25" customHeight="1">
      <c r="A1" s="1516" t="s">
        <v>31</v>
      </c>
      <c r="B1" s="1516"/>
      <c r="C1" s="442"/>
      <c r="D1" s="443" t="s">
        <v>194</v>
      </c>
      <c r="E1" s="443"/>
      <c r="F1" s="443"/>
      <c r="G1" s="443"/>
      <c r="H1" s="443"/>
      <c r="I1" s="443"/>
      <c r="J1" s="444"/>
      <c r="K1" s="1469" t="s">
        <v>555</v>
      </c>
      <c r="L1" s="1469"/>
      <c r="M1" s="1469"/>
      <c r="N1" s="1469"/>
      <c r="O1" s="413"/>
      <c r="P1" s="413"/>
    </row>
    <row r="2" spans="1:16" ht="16.5" customHeight="1">
      <c r="A2" s="1517" t="s">
        <v>342</v>
      </c>
      <c r="B2" s="1517"/>
      <c r="C2" s="1517"/>
      <c r="D2" s="1468" t="s">
        <v>118</v>
      </c>
      <c r="E2" s="1468"/>
      <c r="F2" s="1468"/>
      <c r="G2" s="1468"/>
      <c r="H2" s="1468"/>
      <c r="I2" s="1468"/>
      <c r="J2" s="443"/>
      <c r="K2" s="1470" t="str">
        <f>'Thong tin'!B4</f>
        <v>Cục THADS tỉnh Bình Thuận</v>
      </c>
      <c r="L2" s="1470"/>
      <c r="M2" s="1470"/>
      <c r="N2" s="1470"/>
      <c r="O2" s="413"/>
      <c r="P2" s="422"/>
    </row>
    <row r="3" spans="1:16" ht="16.5" customHeight="1">
      <c r="A3" s="1517" t="s">
        <v>343</v>
      </c>
      <c r="B3" s="1517"/>
      <c r="C3" s="413"/>
      <c r="D3" s="1471" t="str">
        <f>'Thong tin'!B3</f>
        <v>10 tháng / năm 2016</v>
      </c>
      <c r="E3" s="1471"/>
      <c r="F3" s="1471"/>
      <c r="G3" s="1471"/>
      <c r="H3" s="1471"/>
      <c r="I3" s="1471"/>
      <c r="J3" s="445"/>
      <c r="K3" s="1469" t="s">
        <v>763</v>
      </c>
      <c r="L3" s="1469"/>
      <c r="M3" s="1469"/>
      <c r="N3" s="1469"/>
      <c r="O3" s="413"/>
      <c r="P3" s="446"/>
    </row>
    <row r="4" spans="1:16" ht="16.5" customHeight="1">
      <c r="A4" s="433" t="s">
        <v>119</v>
      </c>
      <c r="B4" s="433"/>
      <c r="C4" s="418"/>
      <c r="D4" s="419"/>
      <c r="E4" s="419"/>
      <c r="F4" s="418"/>
      <c r="G4" s="420"/>
      <c r="H4" s="420"/>
      <c r="I4" s="420"/>
      <c r="J4" s="418"/>
      <c r="K4" s="1470" t="s">
        <v>765</v>
      </c>
      <c r="L4" s="1470"/>
      <c r="M4" s="1470"/>
      <c r="N4" s="1470"/>
      <c r="O4" s="413"/>
      <c r="P4" s="446"/>
    </row>
    <row r="5" spans="1:16" ht="16.5" customHeight="1">
      <c r="A5" s="421"/>
      <c r="B5" s="418"/>
      <c r="C5" s="447"/>
      <c r="D5" s="418"/>
      <c r="E5" s="418"/>
      <c r="F5" s="422"/>
      <c r="G5" s="423"/>
      <c r="H5" s="423"/>
      <c r="I5" s="423"/>
      <c r="J5" s="422"/>
      <c r="K5" s="1477" t="s">
        <v>195</v>
      </c>
      <c r="L5" s="1477"/>
      <c r="M5" s="1477"/>
      <c r="N5" s="1477"/>
      <c r="O5" s="413"/>
      <c r="P5" s="446"/>
    </row>
    <row r="6" spans="1:16" ht="18.75" customHeight="1">
      <c r="A6" s="1481" t="s">
        <v>69</v>
      </c>
      <c r="B6" s="1482"/>
      <c r="C6" s="1488" t="s">
        <v>38</v>
      </c>
      <c r="D6" s="1487" t="s">
        <v>338</v>
      </c>
      <c r="E6" s="1489"/>
      <c r="F6" s="1489"/>
      <c r="G6" s="1489"/>
      <c r="H6" s="1489"/>
      <c r="I6" s="1489"/>
      <c r="J6" s="1489"/>
      <c r="K6" s="1489"/>
      <c r="L6" s="1489"/>
      <c r="M6" s="1489"/>
      <c r="N6" s="1490"/>
      <c r="O6" s="444"/>
      <c r="P6" s="448"/>
    </row>
    <row r="7" spans="1:16" ht="27" customHeight="1">
      <c r="A7" s="1483"/>
      <c r="B7" s="1484"/>
      <c r="C7" s="1488"/>
      <c r="D7" s="1473" t="s">
        <v>196</v>
      </c>
      <c r="E7" s="1493" t="s">
        <v>197</v>
      </c>
      <c r="F7" s="1494"/>
      <c r="G7" s="1495"/>
      <c r="H7" s="1473" t="s">
        <v>198</v>
      </c>
      <c r="I7" s="1473" t="s">
        <v>768</v>
      </c>
      <c r="J7" s="1473" t="s">
        <v>199</v>
      </c>
      <c r="K7" s="1473" t="s">
        <v>125</v>
      </c>
      <c r="L7" s="1473" t="s">
        <v>126</v>
      </c>
      <c r="M7" s="1473" t="s">
        <v>127</v>
      </c>
      <c r="N7" s="1506" t="s">
        <v>128</v>
      </c>
      <c r="O7" s="446"/>
      <c r="P7" s="446"/>
    </row>
    <row r="8" spans="1:16" ht="18" customHeight="1">
      <c r="A8" s="1483"/>
      <c r="B8" s="1484"/>
      <c r="C8" s="1488"/>
      <c r="D8" s="1473"/>
      <c r="E8" s="1480" t="s">
        <v>37</v>
      </c>
      <c r="F8" s="1475" t="s">
        <v>7</v>
      </c>
      <c r="G8" s="1476"/>
      <c r="H8" s="1473"/>
      <c r="I8" s="1473"/>
      <c r="J8" s="1473"/>
      <c r="K8" s="1473"/>
      <c r="L8" s="1473"/>
      <c r="M8" s="1473"/>
      <c r="N8" s="1506"/>
      <c r="O8" s="1520"/>
      <c r="P8" s="1520"/>
    </row>
    <row r="9" spans="1:16" ht="26.25" customHeight="1">
      <c r="A9" s="1485"/>
      <c r="B9" s="1486"/>
      <c r="C9" s="1488"/>
      <c r="D9" s="1474"/>
      <c r="E9" s="1474"/>
      <c r="F9" s="515" t="s">
        <v>200</v>
      </c>
      <c r="G9" s="516" t="s">
        <v>201</v>
      </c>
      <c r="H9" s="1474"/>
      <c r="I9" s="1474"/>
      <c r="J9" s="1474"/>
      <c r="K9" s="1474"/>
      <c r="L9" s="1474"/>
      <c r="M9" s="1474"/>
      <c r="N9" s="1506"/>
      <c r="O9" s="449"/>
      <c r="P9" s="449"/>
    </row>
    <row r="10" spans="1:16" s="452" customFormat="1" ht="20.25" customHeight="1">
      <c r="A10" s="1518" t="s">
        <v>40</v>
      </c>
      <c r="B10" s="1519"/>
      <c r="C10" s="450">
        <v>1</v>
      </c>
      <c r="D10" s="450">
        <v>2</v>
      </c>
      <c r="E10" s="450">
        <v>3</v>
      </c>
      <c r="F10" s="450">
        <v>4</v>
      </c>
      <c r="G10" s="450">
        <v>5</v>
      </c>
      <c r="H10" s="450">
        <v>6</v>
      </c>
      <c r="I10" s="450">
        <v>7</v>
      </c>
      <c r="J10" s="450">
        <v>8</v>
      </c>
      <c r="K10" s="450">
        <v>9</v>
      </c>
      <c r="L10" s="450">
        <v>10</v>
      </c>
      <c r="M10" s="450">
        <v>11</v>
      </c>
      <c r="N10" s="450">
        <v>12</v>
      </c>
      <c r="O10" s="451"/>
      <c r="P10" s="451"/>
    </row>
    <row r="11" spans="1:16" ht="21" customHeight="1">
      <c r="A11" s="879" t="s">
        <v>0</v>
      </c>
      <c r="B11" s="880" t="s">
        <v>131</v>
      </c>
      <c r="C11" s="720">
        <f>C12+C13</f>
        <v>38936518</v>
      </c>
      <c r="D11" s="720">
        <f aca="true" t="shared" si="0" ref="D11:N11">D12+D13</f>
        <v>16612618</v>
      </c>
      <c r="E11" s="720">
        <f t="shared" si="0"/>
        <v>14543029</v>
      </c>
      <c r="F11" s="720">
        <f t="shared" si="0"/>
        <v>881830</v>
      </c>
      <c r="G11" s="720">
        <f t="shared" si="0"/>
        <v>13661199</v>
      </c>
      <c r="H11" s="720">
        <f t="shared" si="0"/>
        <v>7300</v>
      </c>
      <c r="I11" s="720">
        <f t="shared" si="0"/>
        <v>3294464</v>
      </c>
      <c r="J11" s="720">
        <f t="shared" si="0"/>
        <v>4401781</v>
      </c>
      <c r="K11" s="720">
        <f t="shared" si="0"/>
        <v>13679</v>
      </c>
      <c r="L11" s="720">
        <f t="shared" si="0"/>
        <v>1000</v>
      </c>
      <c r="M11" s="720">
        <f t="shared" si="0"/>
        <v>0</v>
      </c>
      <c r="N11" s="720">
        <f t="shared" si="0"/>
        <v>62647</v>
      </c>
      <c r="O11" s="448"/>
      <c r="P11" s="448"/>
    </row>
    <row r="12" spans="1:16" ht="21" customHeight="1">
      <c r="A12" s="428">
        <v>1</v>
      </c>
      <c r="B12" s="871" t="s">
        <v>132</v>
      </c>
      <c r="C12" s="720">
        <f>D12+E12+H12+I12+J12+K12+L12+M12+N12</f>
        <v>22293111</v>
      </c>
      <c r="D12" s="721">
        <f>519978+3144666+1406102+441593+108446+528917+215938+604200+757625+410297+69277-131618</f>
        <v>8075421</v>
      </c>
      <c r="E12" s="722">
        <f>F12+G12</f>
        <v>10479357</v>
      </c>
      <c r="F12" s="721">
        <f>65200+385347+58760+27598+55410+21990+19200+46750+5200+0</f>
        <v>685455</v>
      </c>
      <c r="G12" s="721">
        <f>400665+1424652+806853+480522+386183+275045+561616+1190274+1513109+2651331+103652</f>
        <v>9793902</v>
      </c>
      <c r="H12" s="721">
        <v>200</v>
      </c>
      <c r="I12" s="721">
        <f>4500+32229+115294+93466+237757+31394+19689+239509+352540+100-100</f>
        <v>1126378</v>
      </c>
      <c r="J12" s="721">
        <f>326656+1241400+256889+52149+150243+268820+69846+398321+0-154456</f>
        <v>2609868</v>
      </c>
      <c r="K12" s="721">
        <v>887</v>
      </c>
      <c r="L12" s="721">
        <v>1000</v>
      </c>
      <c r="M12" s="721">
        <v>0</v>
      </c>
      <c r="N12" s="723">
        <v>0</v>
      </c>
      <c r="O12" s="446"/>
      <c r="P12" s="446"/>
    </row>
    <row r="13" spans="1:16" ht="21" customHeight="1">
      <c r="A13" s="428">
        <v>2</v>
      </c>
      <c r="B13" s="871" t="s">
        <v>133</v>
      </c>
      <c r="C13" s="720">
        <f>D13+E13+H13+I13+J13+K13+L13+M13+N13</f>
        <v>16643407</v>
      </c>
      <c r="D13" s="723">
        <f>342114+1188906+1295842+1202143+129779+1070756+328009+740279+1427625+807619+4125</f>
        <v>8537197</v>
      </c>
      <c r="E13" s="722">
        <f>F13+G13</f>
        <v>4063672</v>
      </c>
      <c r="F13" s="723">
        <f>2750+400+8648+133890+7998+27034+0+15655</f>
        <v>196375</v>
      </c>
      <c r="G13" s="723">
        <f>15572+167453+888098+252539+164177+365009+362680+379097+324029+741721+206922+0</f>
        <v>3867297</v>
      </c>
      <c r="H13" s="723">
        <f>800+900+800+1800+400+1200+1200</f>
        <v>7100</v>
      </c>
      <c r="I13" s="723">
        <f>20156+254849+170048+182372+107808+315648+106278+823185+127207+48467+12068</f>
        <v>2168086</v>
      </c>
      <c r="J13" s="723">
        <f>333890+977851+192037+63773+50078+60174+82807+31303+0</f>
        <v>1791913</v>
      </c>
      <c r="K13" s="723">
        <v>12792</v>
      </c>
      <c r="L13" s="723">
        <v>0</v>
      </c>
      <c r="M13" s="723">
        <v>0</v>
      </c>
      <c r="N13" s="723">
        <v>62647</v>
      </c>
      <c r="O13" s="446"/>
      <c r="P13" s="446"/>
    </row>
    <row r="14" spans="1:16" ht="21" customHeight="1">
      <c r="A14" s="872" t="s">
        <v>1</v>
      </c>
      <c r="B14" s="873" t="s">
        <v>134</v>
      </c>
      <c r="C14" s="720">
        <f>D14+E14+H14+I14+J14+K14+L14+M14+N14</f>
        <v>551959</v>
      </c>
      <c r="D14" s="724">
        <f>1775+390+38061+36690+0</f>
        <v>76916</v>
      </c>
      <c r="E14" s="722">
        <f>F14+G14</f>
        <v>459425</v>
      </c>
      <c r="F14" s="724">
        <v>950</v>
      </c>
      <c r="G14" s="724">
        <f>236394+55940+58886+1400+1050+3190+3283+4575+59172+34385+200</f>
        <v>458475</v>
      </c>
      <c r="H14" s="724">
        <v>0</v>
      </c>
      <c r="I14" s="724">
        <f>381+1233+6738+200+400+0+400</f>
        <v>9352</v>
      </c>
      <c r="J14" s="724">
        <v>6266</v>
      </c>
      <c r="K14" s="724">
        <v>0</v>
      </c>
      <c r="L14" s="724">
        <v>0</v>
      </c>
      <c r="M14" s="724">
        <v>0</v>
      </c>
      <c r="N14" s="724">
        <v>0</v>
      </c>
      <c r="O14" s="446"/>
      <c r="P14" s="446"/>
    </row>
    <row r="15" spans="1:16" ht="20.25" customHeight="1">
      <c r="A15" s="872" t="s">
        <v>9</v>
      </c>
      <c r="B15" s="873" t="s">
        <v>135</v>
      </c>
      <c r="C15" s="720">
        <f>D15+E15+H15+I15+J15+K15+L15+M15+N15</f>
        <v>299131</v>
      </c>
      <c r="D15" s="724">
        <f>6447+45120+43471+43327+0</f>
        <v>138365</v>
      </c>
      <c r="E15" s="722">
        <f>F15+G15</f>
        <v>0</v>
      </c>
      <c r="F15" s="724">
        <v>0</v>
      </c>
      <c r="G15" s="724">
        <v>0</v>
      </c>
      <c r="H15" s="724">
        <v>0</v>
      </c>
      <c r="I15" s="724">
        <v>0</v>
      </c>
      <c r="J15" s="724">
        <f>136310+24456+0</f>
        <v>160766</v>
      </c>
      <c r="K15" s="724">
        <v>0</v>
      </c>
      <c r="L15" s="724">
        <v>0</v>
      </c>
      <c r="M15" s="724">
        <v>0</v>
      </c>
      <c r="N15" s="724">
        <v>0</v>
      </c>
      <c r="O15" s="446"/>
      <c r="P15" s="446"/>
    </row>
    <row r="16" spans="1:16" ht="21" customHeight="1">
      <c r="A16" s="869" t="s">
        <v>136</v>
      </c>
      <c r="B16" s="874" t="s">
        <v>137</v>
      </c>
      <c r="C16" s="725">
        <f>C17+C26</f>
        <v>38384559</v>
      </c>
      <c r="D16" s="725">
        <f aca="true" t="shared" si="1" ref="D16:N16">D17+D26</f>
        <v>16535702</v>
      </c>
      <c r="E16" s="725">
        <f t="shared" si="1"/>
        <v>14083604</v>
      </c>
      <c r="F16" s="725">
        <f t="shared" si="1"/>
        <v>880880</v>
      </c>
      <c r="G16" s="725">
        <f t="shared" si="1"/>
        <v>13202724</v>
      </c>
      <c r="H16" s="725">
        <f t="shared" si="1"/>
        <v>7300</v>
      </c>
      <c r="I16" s="725">
        <f t="shared" si="1"/>
        <v>3285112</v>
      </c>
      <c r="J16" s="725">
        <f t="shared" si="1"/>
        <v>4395515</v>
      </c>
      <c r="K16" s="725">
        <f t="shared" si="1"/>
        <v>13679</v>
      </c>
      <c r="L16" s="725">
        <f t="shared" si="1"/>
        <v>1000</v>
      </c>
      <c r="M16" s="725">
        <f t="shared" si="1"/>
        <v>0</v>
      </c>
      <c r="N16" s="726">
        <f t="shared" si="1"/>
        <v>62647</v>
      </c>
      <c r="O16" s="448"/>
      <c r="P16" s="448"/>
    </row>
    <row r="17" spans="1:16" ht="21" customHeight="1">
      <c r="A17" s="869" t="s">
        <v>52</v>
      </c>
      <c r="B17" s="881" t="s">
        <v>138</v>
      </c>
      <c r="C17" s="720">
        <f>C18+C19+C20+C21+C22+C23+C24+C25</f>
        <v>27988009</v>
      </c>
      <c r="D17" s="720">
        <f aca="true" t="shared" si="2" ref="D17:N17">D18+D19+D20+D21+D22+D23+D24+D25</f>
        <v>14770911</v>
      </c>
      <c r="E17" s="720">
        <f t="shared" si="2"/>
        <v>6274204</v>
      </c>
      <c r="F17" s="720">
        <f t="shared" si="2"/>
        <v>219719</v>
      </c>
      <c r="G17" s="720">
        <f t="shared" si="2"/>
        <v>6054485</v>
      </c>
      <c r="H17" s="720">
        <f t="shared" si="2"/>
        <v>7300</v>
      </c>
      <c r="I17" s="720">
        <f t="shared" si="2"/>
        <v>3156371</v>
      </c>
      <c r="J17" s="720">
        <f t="shared" si="2"/>
        <v>3701897</v>
      </c>
      <c r="K17" s="720">
        <f t="shared" si="2"/>
        <v>13679</v>
      </c>
      <c r="L17" s="720">
        <f t="shared" si="2"/>
        <v>1000</v>
      </c>
      <c r="M17" s="720">
        <f t="shared" si="2"/>
        <v>0</v>
      </c>
      <c r="N17" s="720">
        <f t="shared" si="2"/>
        <v>62647</v>
      </c>
      <c r="O17" s="448"/>
      <c r="P17" s="444"/>
    </row>
    <row r="18" spans="1:16" ht="21" customHeight="1">
      <c r="A18" s="428" t="s">
        <v>54</v>
      </c>
      <c r="B18" s="871" t="s">
        <v>139</v>
      </c>
      <c r="C18" s="720">
        <f>D18+E18+H18+I18+J18+K18+L18+M18+N18</f>
        <v>11062257</v>
      </c>
      <c r="D18" s="727">
        <f>13254+617319+801581+217640+254705+924399+58040+1178803+807911+957542+179911</f>
        <v>6011105</v>
      </c>
      <c r="E18" s="728">
        <f>F18+G18</f>
        <v>2319659</v>
      </c>
      <c r="F18" s="878">
        <f>27096+7000+36755+33648+400+6910+1900</f>
        <v>113709</v>
      </c>
      <c r="G18" s="727">
        <f>20905+154466+292564+165039+158785+304804+160207+163593+107862+326931+350794+0</f>
        <v>2205950</v>
      </c>
      <c r="H18" s="727">
        <f>200+800+900+800+1800+400+1200+1200</f>
        <v>7300</v>
      </c>
      <c r="I18" s="727">
        <f>12068+51750+111837+264552+99756+347603+106553+177724+92536+240511+20056</f>
        <v>1524946</v>
      </c>
      <c r="J18" s="727">
        <f>15796+112351+59095+85092+66387+168488+359750+266692</f>
        <v>1133651</v>
      </c>
      <c r="K18" s="727">
        <v>9575</v>
      </c>
      <c r="L18" s="727">
        <v>1000</v>
      </c>
      <c r="M18" s="727">
        <v>0</v>
      </c>
      <c r="N18" s="723">
        <v>55021</v>
      </c>
      <c r="O18" s="446"/>
      <c r="P18" s="413"/>
    </row>
    <row r="19" spans="1:16" ht="21" customHeight="1">
      <c r="A19" s="428" t="s">
        <v>55</v>
      </c>
      <c r="B19" s="871" t="s">
        <v>140</v>
      </c>
      <c r="C19" s="720">
        <f aca="true" t="shared" si="3" ref="C19:C25">D19+E19+H19+I19+J19+K19+L19+M19+N19</f>
        <v>742741</v>
      </c>
      <c r="D19" s="727">
        <f>48795+267905+49859+9585+0</f>
        <v>376144</v>
      </c>
      <c r="E19" s="728">
        <f aca="true" t="shared" si="4" ref="E19:E26">F19+G19</f>
        <v>83353</v>
      </c>
      <c r="F19" s="727">
        <v>1490</v>
      </c>
      <c r="G19" s="727">
        <f>3700+7802+700+2157+61889+5615</f>
        <v>81863</v>
      </c>
      <c r="H19" s="727">
        <v>0</v>
      </c>
      <c r="I19" s="727">
        <f>253323+9950+0</f>
        <v>263273</v>
      </c>
      <c r="J19" s="727">
        <f>14537+5434+0</f>
        <v>19971</v>
      </c>
      <c r="K19" s="727">
        <v>0</v>
      </c>
      <c r="L19" s="727">
        <v>0</v>
      </c>
      <c r="M19" s="727">
        <v>0</v>
      </c>
      <c r="N19" s="723">
        <v>0</v>
      </c>
      <c r="O19" s="446"/>
      <c r="P19" s="413"/>
    </row>
    <row r="20" spans="1:16" ht="21" customHeight="1">
      <c r="A20" s="428" t="s">
        <v>141</v>
      </c>
      <c r="B20" s="871" t="s">
        <v>202</v>
      </c>
      <c r="C20" s="720">
        <f t="shared" si="3"/>
        <v>8790</v>
      </c>
      <c r="D20" s="727">
        <v>2950</v>
      </c>
      <c r="E20" s="728">
        <f t="shared" si="4"/>
        <v>5840</v>
      </c>
      <c r="F20" s="727">
        <v>0</v>
      </c>
      <c r="G20" s="727">
        <v>5840</v>
      </c>
      <c r="H20" s="727">
        <v>0</v>
      </c>
      <c r="I20" s="727">
        <v>0</v>
      </c>
      <c r="J20" s="727">
        <v>0</v>
      </c>
      <c r="K20" s="727">
        <v>0</v>
      </c>
      <c r="L20" s="727">
        <v>0</v>
      </c>
      <c r="M20" s="727">
        <v>0</v>
      </c>
      <c r="N20" s="723">
        <v>0</v>
      </c>
      <c r="O20" s="446"/>
      <c r="P20" s="413"/>
    </row>
    <row r="21" spans="1:16" ht="21.75" customHeight="1">
      <c r="A21" s="428" t="s">
        <v>143</v>
      </c>
      <c r="B21" s="871" t="s">
        <v>142</v>
      </c>
      <c r="C21" s="720">
        <f t="shared" si="3"/>
        <v>14328473</v>
      </c>
      <c r="D21" s="727">
        <f>9248+461564+1330845+856853+233249+510395+82000+242649+1020993+2100202+547701</f>
        <v>7395699</v>
      </c>
      <c r="E21" s="728">
        <f t="shared" si="4"/>
        <v>3627311</v>
      </c>
      <c r="F21" s="727">
        <f>5200+245+3440+11610+12321+52502+0</f>
        <v>85318</v>
      </c>
      <c r="G21" s="727">
        <f>978504+366252+426966+10759+81012+97542+274651+420470+770701+115136+0</f>
        <v>3541993</v>
      </c>
      <c r="H21" s="727">
        <v>0</v>
      </c>
      <c r="I21" s="727">
        <f>25442+14037+630273+92376+187177+18261+21994+196352+101976+200+0</f>
        <v>1288088</v>
      </c>
      <c r="J21" s="727">
        <f>234673+1189490+64625+147629+233806+1079+118836+15507</f>
        <v>2005645</v>
      </c>
      <c r="K21" s="727">
        <v>4104</v>
      </c>
      <c r="L21" s="727">
        <v>0</v>
      </c>
      <c r="M21" s="727">
        <v>0</v>
      </c>
      <c r="N21" s="723">
        <v>7626</v>
      </c>
      <c r="O21" s="446"/>
      <c r="P21" s="413"/>
    </row>
    <row r="22" spans="1:16" ht="21" customHeight="1">
      <c r="A22" s="428" t="s">
        <v>145</v>
      </c>
      <c r="B22" s="871" t="s">
        <v>144</v>
      </c>
      <c r="C22" s="720">
        <f t="shared" si="3"/>
        <v>161362</v>
      </c>
      <c r="D22" s="723">
        <f>37937+2250+4918+4999+0</f>
        <v>50104</v>
      </c>
      <c r="E22" s="728">
        <f t="shared" si="4"/>
        <v>47340</v>
      </c>
      <c r="F22" s="723">
        <v>19200</v>
      </c>
      <c r="G22" s="723">
        <f>2+1291+13066+800+12981+0</f>
        <v>28140</v>
      </c>
      <c r="H22" s="723">
        <v>0</v>
      </c>
      <c r="I22" s="723">
        <f>6658+0</f>
        <v>6658</v>
      </c>
      <c r="J22" s="723">
        <v>57260</v>
      </c>
      <c r="K22" s="723">
        <v>0</v>
      </c>
      <c r="L22" s="723">
        <v>0</v>
      </c>
      <c r="M22" s="723">
        <v>0</v>
      </c>
      <c r="N22" s="723">
        <v>0</v>
      </c>
      <c r="O22" s="446"/>
      <c r="P22" s="413"/>
    </row>
    <row r="23" spans="1:16" ht="21" customHeight="1">
      <c r="A23" s="428" t="s">
        <v>147</v>
      </c>
      <c r="B23" s="871" t="s">
        <v>146</v>
      </c>
      <c r="C23" s="720">
        <f t="shared" si="3"/>
        <v>49203</v>
      </c>
      <c r="D23" s="727">
        <f>35783+13420+0</f>
        <v>49203</v>
      </c>
      <c r="E23" s="728">
        <f t="shared" si="4"/>
        <v>0</v>
      </c>
      <c r="F23" s="727">
        <v>0</v>
      </c>
      <c r="G23" s="727">
        <v>0</v>
      </c>
      <c r="H23" s="727">
        <v>0</v>
      </c>
      <c r="I23" s="727">
        <v>0</v>
      </c>
      <c r="J23" s="727">
        <v>0</v>
      </c>
      <c r="K23" s="727">
        <v>0</v>
      </c>
      <c r="L23" s="727">
        <v>0</v>
      </c>
      <c r="M23" s="727">
        <v>0</v>
      </c>
      <c r="N23" s="723">
        <v>0</v>
      </c>
      <c r="O23" s="446"/>
      <c r="P23" s="413"/>
    </row>
    <row r="24" spans="1:16" ht="25.5">
      <c r="A24" s="428" t="s">
        <v>149</v>
      </c>
      <c r="B24" s="431" t="s">
        <v>148</v>
      </c>
      <c r="C24" s="720">
        <f t="shared" si="3"/>
        <v>0</v>
      </c>
      <c r="D24" s="727">
        <v>0</v>
      </c>
      <c r="E24" s="728">
        <f t="shared" si="4"/>
        <v>0</v>
      </c>
      <c r="F24" s="727">
        <v>0</v>
      </c>
      <c r="G24" s="727">
        <v>0</v>
      </c>
      <c r="H24" s="727">
        <v>0</v>
      </c>
      <c r="I24" s="727">
        <v>0</v>
      </c>
      <c r="J24" s="727">
        <v>0</v>
      </c>
      <c r="K24" s="727">
        <v>0</v>
      </c>
      <c r="L24" s="727">
        <v>0</v>
      </c>
      <c r="M24" s="727">
        <v>0</v>
      </c>
      <c r="N24" s="723">
        <v>0</v>
      </c>
      <c r="O24" s="446"/>
      <c r="P24" s="413"/>
    </row>
    <row r="25" spans="1:16" ht="21" customHeight="1">
      <c r="A25" s="428" t="s">
        <v>186</v>
      </c>
      <c r="B25" s="871" t="s">
        <v>150</v>
      </c>
      <c r="C25" s="720">
        <f t="shared" si="3"/>
        <v>1635183</v>
      </c>
      <c r="D25" s="723">
        <f>6447+573926+299673+2827+2833+0</f>
        <v>885706</v>
      </c>
      <c r="E25" s="728">
        <f t="shared" si="4"/>
        <v>190701</v>
      </c>
      <c r="F25" s="723">
        <v>2</v>
      </c>
      <c r="G25" s="723">
        <f>1+10500+180198</f>
        <v>190699</v>
      </c>
      <c r="H25" s="723">
        <v>0</v>
      </c>
      <c r="I25" s="723">
        <f>200+73206+0</f>
        <v>73406</v>
      </c>
      <c r="J25" s="723">
        <f>66724+103782+212943+101921</f>
        <v>485370</v>
      </c>
      <c r="K25" s="723">
        <v>0</v>
      </c>
      <c r="L25" s="723">
        <v>0</v>
      </c>
      <c r="M25" s="723">
        <v>0</v>
      </c>
      <c r="N25" s="723">
        <v>0</v>
      </c>
      <c r="O25" s="446"/>
      <c r="P25" s="413"/>
    </row>
    <row r="26" spans="1:16" ht="21" customHeight="1">
      <c r="A26" s="869" t="s">
        <v>53</v>
      </c>
      <c r="B26" s="874" t="s">
        <v>151</v>
      </c>
      <c r="C26" s="720">
        <f>D26+E26+H26+I26+J26+K26+L26+M26+N26</f>
        <v>10396550</v>
      </c>
      <c r="D26" s="720">
        <f>79238+316950+527646+151560+13542+152344+50994+231925+52434+137258+50900</f>
        <v>1764791</v>
      </c>
      <c r="E26" s="728">
        <f t="shared" si="4"/>
        <v>7809400</v>
      </c>
      <c r="F26" s="720">
        <f>65200+332683+47437+113101+30410+16860+55270+200</f>
        <v>661161</v>
      </c>
      <c r="G26" s="720">
        <f>98119+258516+1190311+469308+206689+277927+380233+764160+896408+1497905+1108663</f>
        <v>7148239</v>
      </c>
      <c r="H26" s="720">
        <v>0</v>
      </c>
      <c r="I26" s="720">
        <f>4500+3123+43654+874+8475+7530+1943+47463+11179+0</f>
        <v>128741</v>
      </c>
      <c r="J26" s="720">
        <f>238241+3122+52149+112031+288075+0</f>
        <v>693618</v>
      </c>
      <c r="K26" s="720">
        <v>0</v>
      </c>
      <c r="L26" s="720">
        <v>0</v>
      </c>
      <c r="M26" s="720">
        <v>0</v>
      </c>
      <c r="N26" s="729">
        <v>0</v>
      </c>
      <c r="O26" s="448"/>
      <c r="P26" s="444"/>
    </row>
    <row r="27" spans="1:16" ht="30.75" customHeight="1">
      <c r="A27" s="453" t="s">
        <v>553</v>
      </c>
      <c r="B27" s="882" t="s">
        <v>203</v>
      </c>
      <c r="C27" s="857">
        <f>(C18+C19+C20)/C17</f>
        <v>0.4221017650808959</v>
      </c>
      <c r="D27" s="857">
        <f aca="true" t="shared" si="5" ref="D27:N27">(D18+D19+D20)/D17</f>
        <v>0.43262050661601037</v>
      </c>
      <c r="E27" s="857">
        <f t="shared" si="5"/>
        <v>0.38392949926397035</v>
      </c>
      <c r="F27" s="857">
        <f t="shared" si="5"/>
        <v>0.5243014941812042</v>
      </c>
      <c r="G27" s="857">
        <f t="shared" si="5"/>
        <v>0.3788353592419504</v>
      </c>
      <c r="H27" s="857">
        <f t="shared" si="5"/>
        <v>1</v>
      </c>
      <c r="I27" s="857">
        <f t="shared" si="5"/>
        <v>0.5665427163029948</v>
      </c>
      <c r="J27" s="857">
        <f t="shared" si="5"/>
        <v>0.3116299562089383</v>
      </c>
      <c r="K27" s="857">
        <f t="shared" si="5"/>
        <v>0.6999780685722641</v>
      </c>
      <c r="L27" s="857">
        <f t="shared" si="5"/>
        <v>1</v>
      </c>
      <c r="M27" s="857" t="e">
        <f t="shared" si="5"/>
        <v>#DIV/0!</v>
      </c>
      <c r="N27" s="857">
        <f t="shared" si="5"/>
        <v>0.8782703082350312</v>
      </c>
      <c r="O27" s="446"/>
      <c r="P27" s="413"/>
    </row>
    <row r="28" spans="3:14" ht="15">
      <c r="C28" s="888">
        <f>C26+C17+C14-C11</f>
        <v>0</v>
      </c>
      <c r="D28" s="888">
        <f aca="true" t="shared" si="6" ref="D28:N28">D26+D17+D14-D11</f>
        <v>0</v>
      </c>
      <c r="E28" s="888">
        <f t="shared" si="6"/>
        <v>0</v>
      </c>
      <c r="F28" s="888">
        <f t="shared" si="6"/>
        <v>0</v>
      </c>
      <c r="G28" s="888">
        <f t="shared" si="6"/>
        <v>0</v>
      </c>
      <c r="H28" s="888">
        <f t="shared" si="6"/>
        <v>0</v>
      </c>
      <c r="I28" s="888">
        <f t="shared" si="6"/>
        <v>0</v>
      </c>
      <c r="J28" s="888">
        <f t="shared" si="6"/>
        <v>0</v>
      </c>
      <c r="K28" s="888">
        <f t="shared" si="6"/>
        <v>0</v>
      </c>
      <c r="L28" s="888">
        <f t="shared" si="6"/>
        <v>0</v>
      </c>
      <c r="M28" s="888">
        <f t="shared" si="6"/>
        <v>0</v>
      </c>
      <c r="N28" s="888">
        <f t="shared" si="6"/>
        <v>0</v>
      </c>
    </row>
  </sheetData>
  <sheetProtection/>
  <mergeCells count="26">
    <mergeCell ref="K1:N1"/>
    <mergeCell ref="K2:N2"/>
    <mergeCell ref="K3:N3"/>
    <mergeCell ref="K4:N4"/>
    <mergeCell ref="K5:N5"/>
    <mergeCell ref="O8:P8"/>
    <mergeCell ref="D2:I2"/>
    <mergeCell ref="D3:I3"/>
    <mergeCell ref="D6:N6"/>
    <mergeCell ref="J7:J9"/>
    <mergeCell ref="L7:L9"/>
    <mergeCell ref="N7:N9"/>
    <mergeCell ref="K7:K9"/>
    <mergeCell ref="M7:M9"/>
    <mergeCell ref="A10:B10"/>
    <mergeCell ref="H7:H9"/>
    <mergeCell ref="I7:I9"/>
    <mergeCell ref="F8:G8"/>
    <mergeCell ref="D7:D9"/>
    <mergeCell ref="E7:G7"/>
    <mergeCell ref="E8:E9"/>
    <mergeCell ref="A1:B1"/>
    <mergeCell ref="A2:C2"/>
    <mergeCell ref="A3:B3"/>
    <mergeCell ref="A6:B9"/>
    <mergeCell ref="C6:C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D43"/>
  <sheetViews>
    <sheetView showZeros="0" view="pageBreakPreview" zoomScaleNormal="80" zoomScaleSheetLayoutView="100" zoomScalePageLayoutView="0" workbookViewId="0" topLeftCell="A1">
      <selection activeCell="C34" sqref="C34"/>
    </sheetView>
  </sheetViews>
  <sheetFormatPr defaultColWidth="9.00390625" defaultRowHeight="15.75"/>
  <cols>
    <col min="1" max="1" width="4.25390625" style="421" customWidth="1"/>
    <col min="2" max="2" width="60.00390625" style="421" customWidth="1"/>
    <col min="3" max="3" width="69.875" style="421" customWidth="1"/>
    <col min="4" max="16384" width="9.00390625" style="421" customWidth="1"/>
  </cols>
  <sheetData>
    <row r="1" spans="1:3" s="435" customFormat="1" ht="30.75" customHeight="1">
      <c r="A1" s="1522" t="s">
        <v>205</v>
      </c>
      <c r="B1" s="1523"/>
      <c r="C1" s="1523"/>
    </row>
    <row r="2" spans="1:3" s="438" customFormat="1" ht="14.25" customHeight="1">
      <c r="A2" s="1513" t="s">
        <v>70</v>
      </c>
      <c r="B2" s="1514"/>
      <c r="C2" s="905" t="s">
        <v>771</v>
      </c>
    </row>
    <row r="3" spans="1:3" s="438" customFormat="1" ht="12.75" customHeight="1">
      <c r="A3" s="1513" t="s">
        <v>6</v>
      </c>
      <c r="B3" s="1514"/>
      <c r="C3" s="436">
        <v>1</v>
      </c>
    </row>
    <row r="4" spans="1:4" ht="14.25" customHeight="1">
      <c r="A4" s="897" t="s">
        <v>52</v>
      </c>
      <c r="B4" s="898" t="s">
        <v>567</v>
      </c>
      <c r="C4" s="893">
        <f>'03'!C22</f>
        <v>161362</v>
      </c>
      <c r="D4" s="903">
        <f>C5+C6+C7+C9+C8+C10+C11-C4</f>
        <v>0</v>
      </c>
    </row>
    <row r="5" spans="1:4" s="26" customFormat="1" ht="15" customHeight="1">
      <c r="A5" s="436" t="s">
        <v>54</v>
      </c>
      <c r="B5" s="899" t="s">
        <v>153</v>
      </c>
      <c r="C5" s="723">
        <v>49120</v>
      </c>
      <c r="D5" s="883"/>
    </row>
    <row r="6" spans="1:4" s="26" customFormat="1" ht="13.5" customHeight="1">
      <c r="A6" s="436" t="s">
        <v>55</v>
      </c>
      <c r="B6" s="899" t="s">
        <v>154</v>
      </c>
      <c r="C6" s="723">
        <v>112242</v>
      </c>
      <c r="D6" s="883"/>
    </row>
    <row r="7" spans="1:4" s="26" customFormat="1" ht="14.25" customHeight="1">
      <c r="A7" s="436" t="s">
        <v>141</v>
      </c>
      <c r="B7" s="899" t="s">
        <v>155</v>
      </c>
      <c r="C7" s="723">
        <v>0</v>
      </c>
      <c r="D7" s="883"/>
    </row>
    <row r="8" spans="1:4" s="26" customFormat="1" ht="14.25" customHeight="1">
      <c r="A8" s="436" t="s">
        <v>143</v>
      </c>
      <c r="B8" s="899" t="s">
        <v>156</v>
      </c>
      <c r="C8" s="723">
        <v>0</v>
      </c>
      <c r="D8" s="883"/>
    </row>
    <row r="9" spans="1:4" s="26" customFormat="1" ht="15" customHeight="1">
      <c r="A9" s="436" t="s">
        <v>145</v>
      </c>
      <c r="B9" s="899" t="s">
        <v>157</v>
      </c>
      <c r="C9" s="723">
        <v>0</v>
      </c>
      <c r="D9" s="883"/>
    </row>
    <row r="10" spans="1:4" s="26" customFormat="1" ht="15" customHeight="1">
      <c r="A10" s="436" t="s">
        <v>147</v>
      </c>
      <c r="B10" s="899" t="s">
        <v>158</v>
      </c>
      <c r="C10" s="723">
        <v>0</v>
      </c>
      <c r="D10" s="883"/>
    </row>
    <row r="11" spans="1:4" s="26" customFormat="1" ht="15" customHeight="1">
      <c r="A11" s="436" t="s">
        <v>149</v>
      </c>
      <c r="B11" s="899" t="s">
        <v>160</v>
      </c>
      <c r="C11" s="723">
        <v>0</v>
      </c>
      <c r="D11" s="883"/>
    </row>
    <row r="12" spans="1:4" s="439" customFormat="1" ht="13.5" customHeight="1">
      <c r="A12" s="897" t="s">
        <v>53</v>
      </c>
      <c r="B12" s="898" t="s">
        <v>563</v>
      </c>
      <c r="C12" s="720">
        <f>'03'!C23</f>
        <v>49203</v>
      </c>
      <c r="D12" s="902">
        <f>C13+C14-C12</f>
        <v>0</v>
      </c>
    </row>
    <row r="13" spans="1:4" s="26" customFormat="1" ht="15" customHeight="1">
      <c r="A13" s="436" t="s">
        <v>56</v>
      </c>
      <c r="B13" s="899" t="s">
        <v>159</v>
      </c>
      <c r="C13" s="723">
        <v>49203</v>
      </c>
      <c r="D13" s="883"/>
    </row>
    <row r="14" spans="1:4" ht="15" customHeight="1">
      <c r="A14" s="436" t="s">
        <v>57</v>
      </c>
      <c r="B14" s="899" t="s">
        <v>160</v>
      </c>
      <c r="C14" s="723">
        <v>0</v>
      </c>
      <c r="D14" s="903"/>
    </row>
    <row r="15" spans="1:4" ht="14.25" customHeight="1">
      <c r="A15" s="897" t="s">
        <v>58</v>
      </c>
      <c r="B15" s="906" t="s">
        <v>150</v>
      </c>
      <c r="C15" s="720">
        <f>'03'!C25</f>
        <v>1635183</v>
      </c>
      <c r="D15" s="903">
        <f>C16+C17+C18-C15</f>
        <v>0</v>
      </c>
    </row>
    <row r="16" spans="1:4" ht="15" customHeight="1">
      <c r="A16" s="436" t="s">
        <v>161</v>
      </c>
      <c r="B16" s="899" t="s">
        <v>189</v>
      </c>
      <c r="C16" s="723">
        <v>37922</v>
      </c>
      <c r="D16" s="903"/>
    </row>
    <row r="17" spans="1:4" s="26" customFormat="1" ht="15">
      <c r="A17" s="436" t="s">
        <v>163</v>
      </c>
      <c r="B17" s="899" t="s">
        <v>164</v>
      </c>
      <c r="C17" s="723">
        <v>965755</v>
      </c>
      <c r="D17" s="883"/>
    </row>
    <row r="18" spans="1:4" s="26" customFormat="1" ht="16.5" customHeight="1">
      <c r="A18" s="436" t="s">
        <v>165</v>
      </c>
      <c r="B18" s="899" t="s">
        <v>166</v>
      </c>
      <c r="C18" s="723">
        <v>631506</v>
      </c>
      <c r="D18" s="883"/>
    </row>
    <row r="19" spans="1:4" s="26" customFormat="1" ht="14.25" customHeight="1">
      <c r="A19" s="897" t="s">
        <v>73</v>
      </c>
      <c r="B19" s="898" t="s">
        <v>568</v>
      </c>
      <c r="C19" s="720">
        <f>'03'!C19</f>
        <v>742741</v>
      </c>
      <c r="D19" s="883">
        <f>C20+C21+C22+C23+C24+C25-C19</f>
        <v>0</v>
      </c>
    </row>
    <row r="20" spans="1:4" s="26" customFormat="1" ht="15.75" customHeight="1">
      <c r="A20" s="436" t="s">
        <v>167</v>
      </c>
      <c r="B20" s="899" t="s">
        <v>168</v>
      </c>
      <c r="C20" s="723">
        <v>649068</v>
      </c>
      <c r="D20" s="883"/>
    </row>
    <row r="21" spans="1:4" s="26" customFormat="1" ht="15" customHeight="1">
      <c r="A21" s="436" t="s">
        <v>169</v>
      </c>
      <c r="B21" s="899" t="s">
        <v>170</v>
      </c>
      <c r="C21" s="723">
        <v>0</v>
      </c>
      <c r="D21" s="883"/>
    </row>
    <row r="22" spans="1:4" s="26" customFormat="1" ht="15.75" customHeight="1">
      <c r="A22" s="436" t="s">
        <v>171</v>
      </c>
      <c r="B22" s="899" t="s">
        <v>172</v>
      </c>
      <c r="C22" s="723">
        <v>10759</v>
      </c>
      <c r="D22" s="883"/>
    </row>
    <row r="23" spans="1:4" s="26" customFormat="1" ht="15.75" customHeight="1">
      <c r="A23" s="436" t="s">
        <v>173</v>
      </c>
      <c r="B23" s="899" t="s">
        <v>156</v>
      </c>
      <c r="C23" s="723">
        <v>0</v>
      </c>
      <c r="D23" s="883"/>
    </row>
    <row r="24" spans="1:4" s="26" customFormat="1" ht="15.75" customHeight="1">
      <c r="A24" s="436" t="s">
        <v>174</v>
      </c>
      <c r="B24" s="899" t="s">
        <v>204</v>
      </c>
      <c r="C24" s="723">
        <v>82914</v>
      </c>
      <c r="D24" s="883"/>
    </row>
    <row r="25" spans="1:4" s="26" customFormat="1" ht="15.75" customHeight="1">
      <c r="A25" s="436" t="s">
        <v>175</v>
      </c>
      <c r="B25" s="899" t="s">
        <v>176</v>
      </c>
      <c r="C25" s="723">
        <v>0</v>
      </c>
      <c r="D25" s="883"/>
    </row>
    <row r="26" spans="1:4" s="26" customFormat="1" ht="15.75" customHeight="1">
      <c r="A26" s="897" t="s">
        <v>74</v>
      </c>
      <c r="B26" s="898" t="s">
        <v>566</v>
      </c>
      <c r="C26" s="720">
        <f>'03'!C26</f>
        <v>10396550</v>
      </c>
      <c r="D26" s="883">
        <f>C27+C28+C29-C26</f>
        <v>0</v>
      </c>
    </row>
    <row r="27" spans="1:4" s="26" customFormat="1" ht="14.25" customHeight="1">
      <c r="A27" s="436" t="s">
        <v>177</v>
      </c>
      <c r="B27" s="899" t="s">
        <v>168</v>
      </c>
      <c r="C27" s="723">
        <v>9736166</v>
      </c>
      <c r="D27" s="883"/>
    </row>
    <row r="28" spans="1:4" ht="14.25" customHeight="1">
      <c r="A28" s="436" t="s">
        <v>178</v>
      </c>
      <c r="B28" s="899" t="s">
        <v>170</v>
      </c>
      <c r="C28" s="723">
        <v>500</v>
      </c>
      <c r="D28" s="903"/>
    </row>
    <row r="29" spans="1:4" s="26" customFormat="1" ht="15" customHeight="1" thickBot="1">
      <c r="A29" s="900" t="s">
        <v>179</v>
      </c>
      <c r="B29" s="901" t="s">
        <v>180</v>
      </c>
      <c r="C29" s="907">
        <v>659884</v>
      </c>
      <c r="D29" s="883"/>
    </row>
    <row r="30" spans="1:3" s="438" customFormat="1" ht="17.25" customHeight="1" thickTop="1">
      <c r="A30" s="1521"/>
      <c r="B30" s="1521"/>
      <c r="C30" s="981" t="str">
        <f>'Thong tin'!B9</f>
        <v>Bình Thuận, ngày 04 tháng 8 năm 2016</v>
      </c>
    </row>
    <row r="31" spans="1:3" s="438" customFormat="1" ht="15.75" customHeight="1">
      <c r="A31" s="1509" t="s">
        <v>181</v>
      </c>
      <c r="B31" s="1509"/>
      <c r="C31" s="983" t="str">
        <f>'Thong tin'!B7</f>
        <v>KT. CỤC TRƯỞNG</v>
      </c>
    </row>
    <row r="32" spans="1:3" s="457" customFormat="1" ht="16.5">
      <c r="A32" s="984"/>
      <c r="B32" s="985"/>
      <c r="C32" s="982" t="str">
        <f>'Thong tin'!B8</f>
        <v>PHÓ CỤC TRƯỞNG</v>
      </c>
    </row>
    <row r="33" spans="1:3" s="438" customFormat="1" ht="15.75" customHeight="1">
      <c r="A33" s="984"/>
      <c r="B33" s="986"/>
      <c r="C33" s="984"/>
    </row>
    <row r="34" spans="1:3" s="438" customFormat="1" ht="15.75" customHeight="1">
      <c r="A34" s="984"/>
      <c r="B34" s="986"/>
      <c r="C34" s="984"/>
    </row>
    <row r="35" spans="1:3" s="438" customFormat="1" ht="12" customHeight="1">
      <c r="A35" s="984"/>
      <c r="B35" s="987"/>
      <c r="C35" s="988"/>
    </row>
    <row r="36" spans="1:3" s="438" customFormat="1" ht="11.25" customHeight="1">
      <c r="A36" s="984"/>
      <c r="B36" s="986"/>
      <c r="C36" s="984"/>
    </row>
    <row r="37" spans="1:3" s="438" customFormat="1" ht="16.5" hidden="1">
      <c r="A37" s="989" t="s">
        <v>47</v>
      </c>
      <c r="B37" s="984"/>
      <c r="C37" s="984"/>
    </row>
    <row r="38" spans="1:3" s="438" customFormat="1" ht="16.5" hidden="1">
      <c r="A38" s="984"/>
      <c r="B38" s="984" t="s">
        <v>50</v>
      </c>
      <c r="C38" s="984"/>
    </row>
    <row r="39" spans="1:3" s="438" customFormat="1" ht="16.5" hidden="1">
      <c r="A39" s="984"/>
      <c r="B39" s="984" t="s">
        <v>64</v>
      </c>
      <c r="C39" s="984"/>
    </row>
    <row r="40" spans="1:3" s="438" customFormat="1" ht="16.5" hidden="1">
      <c r="A40" s="984"/>
      <c r="B40" s="984" t="s">
        <v>62</v>
      </c>
      <c r="C40" s="984"/>
    </row>
    <row r="41" spans="1:3" s="438" customFormat="1" ht="16.5" hidden="1">
      <c r="A41" s="984"/>
      <c r="B41" s="984" t="s">
        <v>65</v>
      </c>
      <c r="C41" s="984"/>
    </row>
    <row r="42" spans="1:3" s="438" customFormat="1" ht="16.5">
      <c r="A42" s="984"/>
      <c r="B42" s="984"/>
      <c r="C42" s="984"/>
    </row>
    <row r="43" spans="1:3" s="438" customFormat="1" ht="16.5">
      <c r="A43" s="1509" t="str">
        <f>'Thong tin'!B5</f>
        <v>Trần Quốc Bảo</v>
      </c>
      <c r="B43" s="1509"/>
      <c r="C43" s="982" t="str">
        <f>'Thong tin'!B6</f>
        <v>Trần Nam</v>
      </c>
    </row>
  </sheetData>
  <sheetProtection/>
  <mergeCells count="6">
    <mergeCell ref="A30:B30"/>
    <mergeCell ref="A31:B31"/>
    <mergeCell ref="A43:B43"/>
    <mergeCell ref="A1:C1"/>
    <mergeCell ref="A2:B2"/>
    <mergeCell ref="A3:B3"/>
  </mergeCells>
  <printOptions/>
  <pageMargins left="0" right="0" top="0" bottom="0" header="0.5" footer="0.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Normal="85" zoomScaleSheetLayoutView="100" zoomScalePageLayoutView="0" workbookViewId="0" topLeftCell="A1">
      <selection activeCell="P27" sqref="P27"/>
    </sheetView>
  </sheetViews>
  <sheetFormatPr defaultColWidth="9.00390625" defaultRowHeight="15.75"/>
  <cols>
    <col min="1" max="1" width="3.625" style="435" customWidth="1"/>
    <col min="2" max="2" width="20.75390625" style="388" customWidth="1"/>
    <col min="3" max="3" width="10.625" style="388" customWidth="1"/>
    <col min="4" max="4" width="10.125" style="388" customWidth="1"/>
    <col min="5" max="5" width="9.625" style="388" customWidth="1"/>
    <col min="6" max="6" width="7.25390625" style="388" customWidth="1"/>
    <col min="7" max="7" width="9.625" style="388" customWidth="1"/>
    <col min="8" max="8" width="7.625" style="388" customWidth="1"/>
    <col min="9" max="9" width="9.00390625" style="388" customWidth="1"/>
    <col min="10" max="10" width="9.25390625" style="388" customWidth="1"/>
    <col min="11" max="12" width="7.75390625" style="388" customWidth="1"/>
    <col min="13" max="13" width="7.50390625" style="388" customWidth="1"/>
    <col min="14" max="14" width="7.375" style="388" customWidth="1"/>
    <col min="15" max="15" width="7.25390625" style="388" customWidth="1"/>
    <col min="16" max="16" width="13.50390625" style="388" bestFit="1" customWidth="1"/>
    <col min="17" max="16384" width="9.00390625" style="388" customWidth="1"/>
  </cols>
  <sheetData>
    <row r="1" spans="1:17" ht="24.75" customHeight="1">
      <c r="A1" s="1467" t="s">
        <v>32</v>
      </c>
      <c r="B1" s="1467"/>
      <c r="C1" s="414"/>
      <c r="D1" s="1468" t="s">
        <v>194</v>
      </c>
      <c r="E1" s="1468"/>
      <c r="F1" s="1468"/>
      <c r="G1" s="1468"/>
      <c r="H1" s="1468"/>
      <c r="I1" s="1468"/>
      <c r="J1" s="1468"/>
      <c r="K1" s="1468"/>
      <c r="L1" s="1469" t="s">
        <v>555</v>
      </c>
      <c r="M1" s="1469"/>
      <c r="N1" s="1469"/>
      <c r="O1" s="1469"/>
      <c r="P1" s="413"/>
      <c r="Q1" s="413"/>
    </row>
    <row r="2" spans="1:17" ht="16.5" customHeight="1">
      <c r="A2" s="1517" t="s">
        <v>342</v>
      </c>
      <c r="B2" s="1517"/>
      <c r="C2" s="1517"/>
      <c r="D2" s="1468" t="s">
        <v>183</v>
      </c>
      <c r="E2" s="1468"/>
      <c r="F2" s="1468"/>
      <c r="G2" s="1468"/>
      <c r="H2" s="1468"/>
      <c r="I2" s="1468"/>
      <c r="J2" s="1468"/>
      <c r="K2" s="1468"/>
      <c r="L2" s="1470" t="str">
        <f>'Thong tin'!B4</f>
        <v>Cục THADS tỉnh Bình Thuận</v>
      </c>
      <c r="M2" s="1470"/>
      <c r="N2" s="1470"/>
      <c r="O2" s="1470"/>
      <c r="P2" s="413"/>
      <c r="Q2" s="422"/>
    </row>
    <row r="3" spans="1:17" ht="16.5" customHeight="1">
      <c r="A3" s="1517" t="s">
        <v>343</v>
      </c>
      <c r="B3" s="1517"/>
      <c r="C3" s="413"/>
      <c r="D3" s="1471" t="str">
        <f>'Thong tin'!B3</f>
        <v>10 tháng / năm 2016</v>
      </c>
      <c r="E3" s="1471"/>
      <c r="F3" s="1471"/>
      <c r="G3" s="1471"/>
      <c r="H3" s="1471"/>
      <c r="I3" s="1471"/>
      <c r="J3" s="1471"/>
      <c r="K3" s="1471"/>
      <c r="L3" s="1469" t="s">
        <v>521</v>
      </c>
      <c r="M3" s="1469"/>
      <c r="N3" s="1469"/>
      <c r="O3" s="1469"/>
      <c r="P3" s="413"/>
      <c r="Q3" s="446"/>
    </row>
    <row r="4" spans="1:17" ht="16.5" customHeight="1">
      <c r="A4" s="416" t="s">
        <v>119</v>
      </c>
      <c r="B4" s="417"/>
      <c r="C4" s="418"/>
      <c r="D4" s="419"/>
      <c r="E4" s="419"/>
      <c r="F4" s="418"/>
      <c r="G4" s="420"/>
      <c r="H4" s="420"/>
      <c r="I4" s="420"/>
      <c r="J4" s="418"/>
      <c r="K4" s="419"/>
      <c r="L4" s="1470" t="s">
        <v>410</v>
      </c>
      <c r="M4" s="1470"/>
      <c r="N4" s="1470"/>
      <c r="O4" s="1470"/>
      <c r="P4" s="413"/>
      <c r="Q4" s="446"/>
    </row>
    <row r="5" spans="1:17" ht="16.5" customHeight="1">
      <c r="A5" s="421"/>
      <c r="B5" s="418"/>
      <c r="C5" s="418"/>
      <c r="D5" s="418"/>
      <c r="E5" s="418"/>
      <c r="F5" s="422"/>
      <c r="G5" s="423"/>
      <c r="H5" s="423"/>
      <c r="I5" s="423"/>
      <c r="J5" s="422"/>
      <c r="K5" s="424"/>
      <c r="L5" s="424"/>
      <c r="M5" s="424" t="s">
        <v>195</v>
      </c>
      <c r="N5" s="458"/>
      <c r="O5" s="413"/>
      <c r="P5" s="413"/>
      <c r="Q5" s="446"/>
    </row>
    <row r="6" spans="1:17" ht="18.75" customHeight="1">
      <c r="A6" s="1481" t="s">
        <v>69</v>
      </c>
      <c r="B6" s="1482"/>
      <c r="C6" s="1487" t="s">
        <v>38</v>
      </c>
      <c r="D6" s="1487" t="s">
        <v>337</v>
      </c>
      <c r="E6" s="1489"/>
      <c r="F6" s="1489"/>
      <c r="G6" s="1489"/>
      <c r="H6" s="1489"/>
      <c r="I6" s="1489"/>
      <c r="J6" s="1489"/>
      <c r="K6" s="1489"/>
      <c r="L6" s="1489"/>
      <c r="M6" s="1489"/>
      <c r="N6" s="1489"/>
      <c r="O6" s="1490"/>
      <c r="P6" s="444"/>
      <c r="Q6" s="448"/>
    </row>
    <row r="7" spans="1:17" ht="20.25" customHeight="1">
      <c r="A7" s="1483"/>
      <c r="B7" s="1484"/>
      <c r="C7" s="1488"/>
      <c r="D7" s="1491" t="s">
        <v>120</v>
      </c>
      <c r="E7" s="1493" t="s">
        <v>121</v>
      </c>
      <c r="F7" s="1494"/>
      <c r="G7" s="1495"/>
      <c r="H7" s="1473" t="s">
        <v>122</v>
      </c>
      <c r="I7" s="1473" t="s">
        <v>123</v>
      </c>
      <c r="J7" s="1473" t="s">
        <v>199</v>
      </c>
      <c r="K7" s="1473" t="s">
        <v>125</v>
      </c>
      <c r="L7" s="1473" t="s">
        <v>126</v>
      </c>
      <c r="M7" s="1473" t="s">
        <v>127</v>
      </c>
      <c r="N7" s="1473" t="s">
        <v>184</v>
      </c>
      <c r="O7" s="1473" t="s">
        <v>128</v>
      </c>
      <c r="P7" s="446"/>
      <c r="Q7" s="446"/>
    </row>
    <row r="8" spans="1:17" ht="21.75" customHeight="1">
      <c r="A8" s="1483"/>
      <c r="B8" s="1484"/>
      <c r="C8" s="1488"/>
      <c r="D8" s="1491"/>
      <c r="E8" s="1480" t="s">
        <v>37</v>
      </c>
      <c r="F8" s="1475" t="s">
        <v>7</v>
      </c>
      <c r="G8" s="1476"/>
      <c r="H8" s="1473"/>
      <c r="I8" s="1473"/>
      <c r="J8" s="1473"/>
      <c r="K8" s="1473"/>
      <c r="L8" s="1473"/>
      <c r="M8" s="1473"/>
      <c r="N8" s="1473"/>
      <c r="O8" s="1473"/>
      <c r="P8" s="1520"/>
      <c r="Q8" s="1520"/>
    </row>
    <row r="9" spans="1:17" ht="21.75" customHeight="1">
      <c r="A9" s="1485"/>
      <c r="B9" s="1486"/>
      <c r="C9" s="1488"/>
      <c r="D9" s="1492"/>
      <c r="E9" s="1474"/>
      <c r="F9" s="515" t="s">
        <v>200</v>
      </c>
      <c r="G9" s="516" t="s">
        <v>201</v>
      </c>
      <c r="H9" s="1474"/>
      <c r="I9" s="1474"/>
      <c r="J9" s="1474"/>
      <c r="K9" s="1474"/>
      <c r="L9" s="1474"/>
      <c r="M9" s="1474"/>
      <c r="N9" s="1474"/>
      <c r="O9" s="1474"/>
      <c r="P9" s="449"/>
      <c r="Q9" s="449"/>
    </row>
    <row r="10" spans="1:17" s="393" customFormat="1" ht="22.5" customHeight="1">
      <c r="A10" s="1478" t="s">
        <v>40</v>
      </c>
      <c r="B10" s="1479"/>
      <c r="C10" s="500">
        <v>1</v>
      </c>
      <c r="D10" s="500">
        <v>2</v>
      </c>
      <c r="E10" s="500">
        <v>3</v>
      </c>
      <c r="F10" s="500">
        <v>4</v>
      </c>
      <c r="G10" s="500">
        <v>5</v>
      </c>
      <c r="H10" s="500">
        <v>6</v>
      </c>
      <c r="I10" s="500">
        <v>7</v>
      </c>
      <c r="J10" s="500">
        <v>8</v>
      </c>
      <c r="K10" s="500">
        <v>9</v>
      </c>
      <c r="L10" s="500">
        <v>10</v>
      </c>
      <c r="M10" s="500">
        <v>11</v>
      </c>
      <c r="N10" s="500">
        <v>12</v>
      </c>
      <c r="O10" s="500">
        <v>13</v>
      </c>
      <c r="P10" s="459"/>
      <c r="Q10" s="459"/>
    </row>
    <row r="11" spans="1:17" ht="21" customHeight="1">
      <c r="A11" s="425" t="s">
        <v>0</v>
      </c>
      <c r="B11" s="880" t="s">
        <v>131</v>
      </c>
      <c r="C11" s="908">
        <f>C12+C13</f>
        <v>1277410001</v>
      </c>
      <c r="D11" s="908">
        <f aca="true" t="shared" si="0" ref="D11:O11">D12+D13</f>
        <v>831737972</v>
      </c>
      <c r="E11" s="908">
        <f t="shared" si="0"/>
        <v>41369723</v>
      </c>
      <c r="F11" s="908">
        <f t="shared" si="0"/>
        <v>11010</v>
      </c>
      <c r="G11" s="908">
        <f t="shared" si="0"/>
        <v>41358713</v>
      </c>
      <c r="H11" s="908">
        <f t="shared" si="0"/>
        <v>400000</v>
      </c>
      <c r="I11" s="908">
        <f t="shared" si="0"/>
        <v>21934937</v>
      </c>
      <c r="J11" s="908">
        <f t="shared" si="0"/>
        <v>377222062</v>
      </c>
      <c r="K11" s="908">
        <f t="shared" si="0"/>
        <v>847073</v>
      </c>
      <c r="L11" s="908">
        <f t="shared" si="0"/>
        <v>3074589</v>
      </c>
      <c r="M11" s="908">
        <f t="shared" si="0"/>
        <v>823645</v>
      </c>
      <c r="N11" s="908">
        <f t="shared" si="0"/>
        <v>0</v>
      </c>
      <c r="O11" s="908">
        <f t="shared" si="0"/>
        <v>0</v>
      </c>
      <c r="P11" s="920">
        <f>P12+P13</f>
        <v>1316346519</v>
      </c>
      <c r="Q11" s="448"/>
    </row>
    <row r="12" spans="1:17" ht="21" customHeight="1">
      <c r="A12" s="428">
        <v>1</v>
      </c>
      <c r="B12" s="871" t="s">
        <v>132</v>
      </c>
      <c r="C12" s="908">
        <f>D12+E12+H12+I12+J12+K12+L12+M12+N12+O12</f>
        <v>818320012</v>
      </c>
      <c r="D12" s="909">
        <f>37532068+287858675+75141287+28573568+26105698+16725996+2871754+55035014+52748909+6618960+1756416+0-25159733-14227932</f>
        <v>551580680</v>
      </c>
      <c r="E12" s="910">
        <f>F12+G12</f>
        <v>23311068</v>
      </c>
      <c r="F12" s="909">
        <v>3600</v>
      </c>
      <c r="G12" s="909">
        <f>28359+285578+124619+3672248+113849+709514+430341+713169+1284372+1850950+14094469+0</f>
        <v>23307468</v>
      </c>
      <c r="H12" s="909">
        <v>400000</v>
      </c>
      <c r="I12" s="909">
        <f>46000+4235491+618157+314963+565916+1028923+341752+1855409+40000+265015+35200</f>
        <v>9346826</v>
      </c>
      <c r="J12" s="909">
        <f>0+24794070+25503761+26409156+3223080+4659699+10327594+185329675+29832250-80196374</f>
        <v>229882911</v>
      </c>
      <c r="K12" s="909">
        <v>515017</v>
      </c>
      <c r="L12" s="909">
        <v>3074589</v>
      </c>
      <c r="M12" s="909">
        <v>208921</v>
      </c>
      <c r="N12" s="911">
        <v>0</v>
      </c>
      <c r="O12" s="911">
        <v>0</v>
      </c>
      <c r="P12" s="923">
        <f>C12+'03'!C12</f>
        <v>840613123</v>
      </c>
      <c r="Q12" s="446"/>
    </row>
    <row r="13" spans="1:17" ht="21" customHeight="1">
      <c r="A13" s="428">
        <v>2</v>
      </c>
      <c r="B13" s="871" t="s">
        <v>133</v>
      </c>
      <c r="C13" s="908">
        <f>D13+E13+H13+I13+J13+K13+L13+M13+N13+O13</f>
        <v>459089989</v>
      </c>
      <c r="D13" s="911">
        <f>48047037+41271320+48012011+22688517+16978181+25813460+9416277+11158122+38526273+18176094+70000</f>
        <v>280157292</v>
      </c>
      <c r="E13" s="910">
        <f>F13+G13</f>
        <v>18058655</v>
      </c>
      <c r="F13" s="911">
        <v>7410</v>
      </c>
      <c r="G13" s="911">
        <f>556466+1023881+1030347+415628+457901+1086068+691413+1723504+1795355+9270682+0</f>
        <v>18051245</v>
      </c>
      <c r="H13" s="911">
        <v>0</v>
      </c>
      <c r="I13" s="911">
        <f>2348760+1983208+819560+1621773+1437944+467971+1030347+995073+163400+44000+1676075</f>
        <v>12588111</v>
      </c>
      <c r="J13" s="911">
        <f>94284125+38203921+6481671+35516+3709859+535850+1261351+2826858+0</f>
        <v>147339151</v>
      </c>
      <c r="K13" s="911">
        <v>332056</v>
      </c>
      <c r="L13" s="911">
        <v>0</v>
      </c>
      <c r="M13" s="911">
        <v>614724</v>
      </c>
      <c r="N13" s="911">
        <v>0</v>
      </c>
      <c r="O13" s="911">
        <v>0</v>
      </c>
      <c r="P13" s="923">
        <f>C13+'03'!C13</f>
        <v>475733396</v>
      </c>
      <c r="Q13" s="446"/>
    </row>
    <row r="14" spans="1:17" ht="21" customHeight="1">
      <c r="A14" s="872" t="s">
        <v>1</v>
      </c>
      <c r="B14" s="873" t="s">
        <v>134</v>
      </c>
      <c r="C14" s="908">
        <f>D14+E14+H14+I14+J14+K14+L14+M14+N14+O14</f>
        <v>16655019</v>
      </c>
      <c r="D14" s="912">
        <f>13000000+6014745+1388926+150000+823000+3613267+107660-11699900</f>
        <v>13397698</v>
      </c>
      <c r="E14" s="910">
        <f>F14+G14</f>
        <v>3151821</v>
      </c>
      <c r="F14" s="912">
        <v>0</v>
      </c>
      <c r="G14" s="912">
        <f>144000+1020307+1115120+250985+198500+6500+100445+15030+244934+56000+0</f>
        <v>3151821</v>
      </c>
      <c r="H14" s="912">
        <v>0</v>
      </c>
      <c r="I14" s="912">
        <f>60000+6000+39500+0</f>
        <v>105500</v>
      </c>
      <c r="J14" s="912">
        <v>0</v>
      </c>
      <c r="K14" s="912">
        <v>0</v>
      </c>
      <c r="L14" s="912">
        <v>0</v>
      </c>
      <c r="M14" s="912">
        <v>0</v>
      </c>
      <c r="N14" s="912">
        <v>0</v>
      </c>
      <c r="O14" s="912">
        <v>0</v>
      </c>
      <c r="P14" s="923">
        <f>C14+'03'!C14</f>
        <v>17206978</v>
      </c>
      <c r="Q14" s="446"/>
    </row>
    <row r="15" spans="1:17" ht="21" customHeight="1">
      <c r="A15" s="872" t="s">
        <v>9</v>
      </c>
      <c r="B15" s="873" t="s">
        <v>135</v>
      </c>
      <c r="C15" s="908">
        <f>D15+E15+H15+I15+J15+K15+L15+M15+N15+O15</f>
        <v>143339061</v>
      </c>
      <c r="D15" s="912">
        <f>2995099+22239892+13187081+2732760+0</f>
        <v>41154832</v>
      </c>
      <c r="E15" s="910">
        <f>F15+G15</f>
        <v>0</v>
      </c>
      <c r="F15" s="912">
        <v>0</v>
      </c>
      <c r="G15" s="912">
        <v>0</v>
      </c>
      <c r="H15" s="912">
        <v>0</v>
      </c>
      <c r="I15" s="912">
        <v>0</v>
      </c>
      <c r="J15" s="912">
        <f>20634084+81550145+0</f>
        <v>102184229</v>
      </c>
      <c r="K15" s="912">
        <v>0</v>
      </c>
      <c r="L15" s="912">
        <v>0</v>
      </c>
      <c r="M15" s="912">
        <v>0</v>
      </c>
      <c r="N15" s="912">
        <v>0</v>
      </c>
      <c r="O15" s="912">
        <v>0</v>
      </c>
      <c r="P15" s="923">
        <f>C15+'03'!C15</f>
        <v>143638192</v>
      </c>
      <c r="Q15" s="446"/>
    </row>
    <row r="16" spans="1:17" ht="21" customHeight="1">
      <c r="A16" s="869" t="s">
        <v>136</v>
      </c>
      <c r="B16" s="874" t="s">
        <v>137</v>
      </c>
      <c r="C16" s="913">
        <f>C17+C25</f>
        <v>1260754982</v>
      </c>
      <c r="D16" s="913">
        <f aca="true" t="shared" si="1" ref="D16:O16">D17+D25</f>
        <v>818340274</v>
      </c>
      <c r="E16" s="913">
        <f t="shared" si="1"/>
        <v>38217902</v>
      </c>
      <c r="F16" s="913">
        <f t="shared" si="1"/>
        <v>11010</v>
      </c>
      <c r="G16" s="913">
        <f t="shared" si="1"/>
        <v>38206892</v>
      </c>
      <c r="H16" s="913">
        <f t="shared" si="1"/>
        <v>400000</v>
      </c>
      <c r="I16" s="913">
        <f t="shared" si="1"/>
        <v>21829437</v>
      </c>
      <c r="J16" s="913">
        <f t="shared" si="1"/>
        <v>377222062</v>
      </c>
      <c r="K16" s="913">
        <f t="shared" si="1"/>
        <v>847073</v>
      </c>
      <c r="L16" s="913">
        <f t="shared" si="1"/>
        <v>3074589</v>
      </c>
      <c r="M16" s="913">
        <f t="shared" si="1"/>
        <v>823645</v>
      </c>
      <c r="N16" s="913">
        <f t="shared" si="1"/>
        <v>0</v>
      </c>
      <c r="O16" s="914">
        <f t="shared" si="1"/>
        <v>0</v>
      </c>
      <c r="P16" s="922">
        <f>P17+P25</f>
        <v>1299139541</v>
      </c>
      <c r="Q16" s="444"/>
    </row>
    <row r="17" spans="1:17" ht="21" customHeight="1">
      <c r="A17" s="869" t="s">
        <v>52</v>
      </c>
      <c r="B17" s="881" t="s">
        <v>138</v>
      </c>
      <c r="C17" s="908">
        <f>C18+C19+C20+C21+C22+C23+C24</f>
        <v>1026374168</v>
      </c>
      <c r="D17" s="908">
        <f aca="true" t="shared" si="2" ref="D17:O17">D18+D19+D20+D21+D22+D23+D24</f>
        <v>691605157</v>
      </c>
      <c r="E17" s="908">
        <f t="shared" si="2"/>
        <v>27296250</v>
      </c>
      <c r="F17" s="908">
        <f t="shared" si="2"/>
        <v>11010</v>
      </c>
      <c r="G17" s="908">
        <f t="shared" si="2"/>
        <v>27285240</v>
      </c>
      <c r="H17" s="908">
        <f t="shared" si="2"/>
        <v>400000</v>
      </c>
      <c r="I17" s="908">
        <f t="shared" si="2"/>
        <v>18605874</v>
      </c>
      <c r="J17" s="908">
        <f t="shared" si="2"/>
        <v>286808179</v>
      </c>
      <c r="K17" s="908">
        <f t="shared" si="2"/>
        <v>847073</v>
      </c>
      <c r="L17" s="908">
        <f t="shared" si="2"/>
        <v>0</v>
      </c>
      <c r="M17" s="908">
        <f t="shared" si="2"/>
        <v>811635</v>
      </c>
      <c r="N17" s="908">
        <f t="shared" si="2"/>
        <v>0</v>
      </c>
      <c r="O17" s="908">
        <f t="shared" si="2"/>
        <v>0</v>
      </c>
      <c r="P17" s="922">
        <f>P18+P19+P20+P21+P22+P23+P24+'03'!C20</f>
        <v>1054362177</v>
      </c>
      <c r="Q17" s="444"/>
    </row>
    <row r="18" spans="1:17" ht="21" customHeight="1">
      <c r="A18" s="428" t="s">
        <v>54</v>
      </c>
      <c r="B18" s="871" t="s">
        <v>139</v>
      </c>
      <c r="C18" s="908">
        <f>D18+E18+H18+I18+J18+K18+L18+M18+N18+O18</f>
        <v>100194694</v>
      </c>
      <c r="D18" s="915">
        <f>4399350+20579833+14801067+8383494+1008684+5588942+2211773+6408856+6087800+2323885+127137+0-511372</f>
        <v>71409449</v>
      </c>
      <c r="E18" s="916">
        <f>F18+G18</f>
        <v>3218421</v>
      </c>
      <c r="F18" s="915">
        <v>11010</v>
      </c>
      <c r="G18" s="915">
        <f>104795+145271+648294+27650+245382+361385+149886+70141+255227+1199380</f>
        <v>3207411</v>
      </c>
      <c r="H18" s="915">
        <v>0</v>
      </c>
      <c r="I18" s="915">
        <f>38600+83001+175973+539405+86646+796840+75107+577700+280188+3439370+36000+0</f>
        <v>6128830</v>
      </c>
      <c r="J18" s="915">
        <f>3793137+7817565+1255030+740000+384266+4507950+312000+520707+0</f>
        <v>19330655</v>
      </c>
      <c r="K18" s="915">
        <v>107339</v>
      </c>
      <c r="L18" s="915">
        <v>0</v>
      </c>
      <c r="M18" s="915">
        <v>0</v>
      </c>
      <c r="N18" s="911">
        <v>0</v>
      </c>
      <c r="O18" s="911">
        <v>0</v>
      </c>
      <c r="P18" s="921">
        <f>C18+'03'!C18</f>
        <v>111256951</v>
      </c>
      <c r="Q18" s="413"/>
    </row>
    <row r="19" spans="1:17" ht="21" customHeight="1">
      <c r="A19" s="428" t="s">
        <v>55</v>
      </c>
      <c r="B19" s="871" t="s">
        <v>140</v>
      </c>
      <c r="C19" s="908">
        <f aca="true" t="shared" si="3" ref="C19:C25">D19+E19+H19+I19+J19+K19+L19+M19+N19+O19</f>
        <v>178114156</v>
      </c>
      <c r="D19" s="915">
        <f>166196+418548+235853+209326+1037303+1476480+14000+3646914+765252+120554359+2227285+0+76957</f>
        <v>130828473</v>
      </c>
      <c r="E19" s="916">
        <f aca="true" t="shared" si="4" ref="E19:E25">F19+G19</f>
        <v>542422</v>
      </c>
      <c r="F19" s="915">
        <v>0</v>
      </c>
      <c r="G19" s="915">
        <f>180124+91565+31416+157555+1200+11150+2500+22912+0+44000</f>
        <v>542422</v>
      </c>
      <c r="H19" s="915">
        <v>0</v>
      </c>
      <c r="I19" s="915">
        <f>893038+172800+64000+652000+365031+104484+872600+491400+21400+0+9043</f>
        <v>3645796</v>
      </c>
      <c r="J19" s="915">
        <f>9512+1203607+3614975+317234+36701927+1250210</f>
        <v>43097465</v>
      </c>
      <c r="K19" s="915">
        <v>0</v>
      </c>
      <c r="L19" s="915">
        <v>0</v>
      </c>
      <c r="M19" s="915">
        <v>0</v>
      </c>
      <c r="N19" s="911">
        <v>0</v>
      </c>
      <c r="O19" s="911">
        <v>0</v>
      </c>
      <c r="P19" s="921">
        <f>C19+'03'!C19</f>
        <v>178856897</v>
      </c>
      <c r="Q19" s="413"/>
    </row>
    <row r="20" spans="1:17" ht="21" customHeight="1">
      <c r="A20" s="428" t="s">
        <v>141</v>
      </c>
      <c r="B20" s="871" t="s">
        <v>142</v>
      </c>
      <c r="C20" s="908">
        <f t="shared" si="3"/>
        <v>571094489</v>
      </c>
      <c r="D20" s="915">
        <f>69370262+111090981+20192779+18120195+9288602+33794200+4414181+43149585+48130647+19093967+1026003</f>
        <v>377671402</v>
      </c>
      <c r="E20" s="916">
        <f t="shared" si="4"/>
        <v>23420299</v>
      </c>
      <c r="F20" s="915">
        <v>0</v>
      </c>
      <c r="G20" s="915">
        <f>28359+164119+172094+3192136+231382+297528+711735+540733+1043435+1790110+15248668+0</f>
        <v>23420299</v>
      </c>
      <c r="H20" s="915">
        <v>0</v>
      </c>
      <c r="I20" s="915">
        <f>37000+189894+213200+2303167+616593+1051354+699570+484823+2095877+1100399+10000-1255801</f>
        <v>7546076</v>
      </c>
      <c r="J20" s="915">
        <f>48445941+71045537+6643888+340240+3841685+22437056+1004520+7146476</f>
        <v>160905343</v>
      </c>
      <c r="K20" s="915">
        <v>739734</v>
      </c>
      <c r="L20" s="915">
        <v>0</v>
      </c>
      <c r="M20" s="915">
        <v>811635</v>
      </c>
      <c r="N20" s="911">
        <v>0</v>
      </c>
      <c r="O20" s="911">
        <v>0</v>
      </c>
      <c r="P20" s="923">
        <f>C20+'03'!C21</f>
        <v>585422962</v>
      </c>
      <c r="Q20" s="413"/>
    </row>
    <row r="21" spans="1:17" ht="21" customHeight="1">
      <c r="A21" s="428" t="s">
        <v>143</v>
      </c>
      <c r="B21" s="871" t="s">
        <v>144</v>
      </c>
      <c r="C21" s="908">
        <f t="shared" si="3"/>
        <v>30520614</v>
      </c>
      <c r="D21" s="911">
        <f>513083+56000+120000+54000+696973+15000+2414069+287519+8226828+6835446+0</f>
        <v>19218918</v>
      </c>
      <c r="E21" s="916">
        <f t="shared" si="4"/>
        <v>0</v>
      </c>
      <c r="F21" s="911">
        <v>0</v>
      </c>
      <c r="G21" s="911">
        <f>0</f>
        <v>0</v>
      </c>
      <c r="H21" s="911">
        <v>0</v>
      </c>
      <c r="I21" s="911">
        <f>234000+13500+143884+2000+3600-200</f>
        <v>396784</v>
      </c>
      <c r="J21" s="911">
        <f>1503381+9401531+0</f>
        <v>10904912</v>
      </c>
      <c r="K21" s="911">
        <v>0</v>
      </c>
      <c r="L21" s="911">
        <v>0</v>
      </c>
      <c r="M21" s="911">
        <v>0</v>
      </c>
      <c r="N21" s="911">
        <v>0</v>
      </c>
      <c r="O21" s="911">
        <v>0</v>
      </c>
      <c r="P21" s="923">
        <f>C21+'03'!C22</f>
        <v>30681976</v>
      </c>
      <c r="Q21" s="413"/>
    </row>
    <row r="22" spans="1:17" ht="21" customHeight="1">
      <c r="A22" s="428" t="s">
        <v>145</v>
      </c>
      <c r="B22" s="871" t="s">
        <v>146</v>
      </c>
      <c r="C22" s="908">
        <f t="shared" si="3"/>
        <v>2833581</v>
      </c>
      <c r="D22" s="915">
        <f>659602+1773979-856388</f>
        <v>1577193</v>
      </c>
      <c r="E22" s="916">
        <f t="shared" si="4"/>
        <v>0</v>
      </c>
      <c r="F22" s="915">
        <v>0</v>
      </c>
      <c r="G22" s="915">
        <v>0</v>
      </c>
      <c r="H22" s="915">
        <v>400000</v>
      </c>
      <c r="I22" s="915">
        <v>856388</v>
      </c>
      <c r="J22" s="915">
        <v>0</v>
      </c>
      <c r="K22" s="915">
        <v>0</v>
      </c>
      <c r="L22" s="915">
        <v>0</v>
      </c>
      <c r="M22" s="915">
        <v>0</v>
      </c>
      <c r="N22" s="911">
        <v>0</v>
      </c>
      <c r="O22" s="911">
        <v>0</v>
      </c>
      <c r="P22" s="923">
        <f>C22+'03'!C23</f>
        <v>2882784</v>
      </c>
      <c r="Q22" s="413"/>
    </row>
    <row r="23" spans="1:17" ht="25.5">
      <c r="A23" s="428" t="s">
        <v>147</v>
      </c>
      <c r="B23" s="431" t="s">
        <v>148</v>
      </c>
      <c r="C23" s="908">
        <f t="shared" si="3"/>
        <v>1812316</v>
      </c>
      <c r="D23" s="915">
        <v>1812316</v>
      </c>
      <c r="E23" s="916">
        <f t="shared" si="4"/>
        <v>0</v>
      </c>
      <c r="F23" s="915">
        <v>0</v>
      </c>
      <c r="G23" s="915">
        <v>0</v>
      </c>
      <c r="H23" s="915">
        <v>0</v>
      </c>
      <c r="I23" s="915">
        <v>0</v>
      </c>
      <c r="J23" s="915">
        <v>0</v>
      </c>
      <c r="K23" s="915">
        <v>0</v>
      </c>
      <c r="L23" s="915">
        <v>0</v>
      </c>
      <c r="M23" s="915">
        <v>0</v>
      </c>
      <c r="N23" s="911">
        <v>0</v>
      </c>
      <c r="O23" s="911">
        <v>0</v>
      </c>
      <c r="P23" s="923">
        <f>C23+'03'!C24</f>
        <v>1812316</v>
      </c>
      <c r="Q23" s="413"/>
    </row>
    <row r="24" spans="1:17" ht="21" customHeight="1">
      <c r="A24" s="428" t="s">
        <v>149</v>
      </c>
      <c r="B24" s="871" t="s">
        <v>150</v>
      </c>
      <c r="C24" s="908">
        <f t="shared" si="3"/>
        <v>141804318</v>
      </c>
      <c r="D24" s="911">
        <f>58446571+30338594+109780+13322+21500+41097+0-165542+282084</f>
        <v>89087406</v>
      </c>
      <c r="E24" s="916">
        <f t="shared" si="4"/>
        <v>115108</v>
      </c>
      <c r="F24" s="911">
        <v>0</v>
      </c>
      <c r="G24" s="911">
        <f>23108+92000</f>
        <v>115108</v>
      </c>
      <c r="H24" s="911">
        <v>0</v>
      </c>
      <c r="I24" s="911">
        <v>32000</v>
      </c>
      <c r="J24" s="911">
        <f>2749533+22149393+2222286+25448592+0</f>
        <v>52569804</v>
      </c>
      <c r="K24" s="911">
        <v>0</v>
      </c>
      <c r="L24" s="911">
        <v>0</v>
      </c>
      <c r="M24" s="911">
        <v>0</v>
      </c>
      <c r="N24" s="911">
        <v>0</v>
      </c>
      <c r="O24" s="911">
        <v>0</v>
      </c>
      <c r="P24" s="923">
        <f>C24+'03'!C25</f>
        <v>143439501</v>
      </c>
      <c r="Q24" s="413"/>
    </row>
    <row r="25" spans="1:17" ht="21" customHeight="1">
      <c r="A25" s="869" t="s">
        <v>53</v>
      </c>
      <c r="B25" s="874" t="s">
        <v>151</v>
      </c>
      <c r="C25" s="908">
        <f t="shared" si="3"/>
        <v>234380814</v>
      </c>
      <c r="D25" s="908">
        <f>1979500+2111417+43581006+16775317+9681379+811361+4529677+14916443+30750137+2445571+507080-1353771</f>
        <v>126735117</v>
      </c>
      <c r="E25" s="916">
        <f t="shared" si="4"/>
        <v>10921652</v>
      </c>
      <c r="F25" s="908">
        <v>0</v>
      </c>
      <c r="G25" s="908">
        <f>473130+563289+844635+170000+606855+220481+305423+655764+489096+6592979+0</f>
        <v>10921652</v>
      </c>
      <c r="H25" s="908">
        <v>0</v>
      </c>
      <c r="I25" s="908">
        <f>134120+94500+1353771+137100+617128+2000+7000+877944+0</f>
        <v>3223563</v>
      </c>
      <c r="J25" s="908">
        <f>19944233+1353771+6370827+4269029+58476023</f>
        <v>90413883</v>
      </c>
      <c r="K25" s="908">
        <v>0</v>
      </c>
      <c r="L25" s="908">
        <v>3074589</v>
      </c>
      <c r="M25" s="908">
        <v>12010</v>
      </c>
      <c r="N25" s="917">
        <v>0</v>
      </c>
      <c r="O25" s="917">
        <v>0</v>
      </c>
      <c r="P25" s="924">
        <f>C25+'03'!C26</f>
        <v>244777364</v>
      </c>
      <c r="Q25" s="413"/>
    </row>
    <row r="26" spans="1:17" ht="25.5">
      <c r="A26" s="453" t="s">
        <v>553</v>
      </c>
      <c r="B26" s="478" t="s">
        <v>152</v>
      </c>
      <c r="C26" s="918">
        <f>(C18+C19)/C17</f>
        <v>0.27115730176872493</v>
      </c>
      <c r="D26" s="918">
        <f aca="true" t="shared" si="5" ref="D26:O26">(D18+D19)/D17</f>
        <v>0.2924181810286877</v>
      </c>
      <c r="E26" s="918">
        <f t="shared" si="5"/>
        <v>0.13777874250125932</v>
      </c>
      <c r="F26" s="918">
        <f t="shared" si="5"/>
        <v>1</v>
      </c>
      <c r="G26" s="918">
        <f t="shared" si="5"/>
        <v>0.1374308234048885</v>
      </c>
      <c r="H26" s="918">
        <f t="shared" si="5"/>
        <v>0</v>
      </c>
      <c r="I26" s="918">
        <f t="shared" si="5"/>
        <v>0.525351617451564</v>
      </c>
      <c r="J26" s="918">
        <f t="shared" si="5"/>
        <v>0.2176650617763589</v>
      </c>
      <c r="K26" s="918">
        <f t="shared" si="5"/>
        <v>0.12671753201908217</v>
      </c>
      <c r="L26" s="918" t="e">
        <f t="shared" si="5"/>
        <v>#DIV/0!</v>
      </c>
      <c r="M26" s="918">
        <f t="shared" si="5"/>
        <v>0</v>
      </c>
      <c r="N26" s="918" t="e">
        <f t="shared" si="5"/>
        <v>#DIV/0!</v>
      </c>
      <c r="O26" s="918" t="e">
        <f t="shared" si="5"/>
        <v>#DIV/0!</v>
      </c>
      <c r="P26" s="921">
        <f>P25+P24+P23+P22+P21+P20</f>
        <v>1009016903</v>
      </c>
      <c r="Q26" s="413"/>
    </row>
    <row r="27" spans="3:15" ht="15">
      <c r="C27" s="919">
        <f>C25+C17+C14-C11</f>
        <v>0</v>
      </c>
      <c r="D27" s="919">
        <f aca="true" t="shared" si="6" ref="D27:O27">D25+D17+D14-D11</f>
        <v>0</v>
      </c>
      <c r="E27" s="919">
        <f t="shared" si="6"/>
        <v>0</v>
      </c>
      <c r="F27" s="919">
        <f t="shared" si="6"/>
        <v>0</v>
      </c>
      <c r="G27" s="919">
        <f t="shared" si="6"/>
        <v>0</v>
      </c>
      <c r="H27" s="919">
        <f t="shared" si="6"/>
        <v>0</v>
      </c>
      <c r="I27" s="919">
        <f t="shared" si="6"/>
        <v>0</v>
      </c>
      <c r="J27" s="919">
        <f t="shared" si="6"/>
        <v>0</v>
      </c>
      <c r="K27" s="919">
        <f t="shared" si="6"/>
        <v>0</v>
      </c>
      <c r="L27" s="919">
        <f t="shared" si="6"/>
        <v>0</v>
      </c>
      <c r="M27" s="919">
        <f t="shared" si="6"/>
        <v>0</v>
      </c>
      <c r="N27" s="919">
        <f t="shared" si="6"/>
        <v>0</v>
      </c>
      <c r="O27" s="919">
        <f t="shared" si="6"/>
        <v>0</v>
      </c>
    </row>
  </sheetData>
  <sheetProtection/>
  <mergeCells count="27">
    <mergeCell ref="A10:B10"/>
    <mergeCell ref="C6:C9"/>
    <mergeCell ref="D6:O6"/>
    <mergeCell ref="D7:D9"/>
    <mergeCell ref="E7:G7"/>
    <mergeCell ref="J7:J9"/>
    <mergeCell ref="K7:K9"/>
    <mergeCell ref="L7:L9"/>
    <mergeCell ref="O7:O9"/>
    <mergeCell ref="E8:E9"/>
    <mergeCell ref="P8:Q8"/>
    <mergeCell ref="A6:B9"/>
    <mergeCell ref="N7:N9"/>
    <mergeCell ref="H7:H9"/>
    <mergeCell ref="A1:B1"/>
    <mergeCell ref="A2:C2"/>
    <mergeCell ref="D2:K2"/>
    <mergeCell ref="D3:K3"/>
    <mergeCell ref="A3:B3"/>
    <mergeCell ref="L1:O1"/>
    <mergeCell ref="I7:I9"/>
    <mergeCell ref="L2:O2"/>
    <mergeCell ref="L3:O3"/>
    <mergeCell ref="L4:O4"/>
    <mergeCell ref="D1:K1"/>
    <mergeCell ref="F8:G8"/>
    <mergeCell ref="M7:M9"/>
  </mergeCells>
  <printOptions/>
  <pageMargins left="0" right="0" top="0"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99" t="s">
        <v>36</v>
      </c>
      <c r="B1" s="1199"/>
      <c r="C1" s="1199"/>
      <c r="D1" s="1199"/>
      <c r="E1" s="1198" t="s">
        <v>480</v>
      </c>
      <c r="F1" s="1198"/>
      <c r="G1" s="1198"/>
      <c r="H1" s="1198"/>
      <c r="I1" s="1198"/>
      <c r="J1" s="1198"/>
      <c r="K1" s="1198"/>
      <c r="L1" s="40" t="s">
        <v>456</v>
      </c>
      <c r="M1" s="40"/>
      <c r="N1" s="40"/>
      <c r="O1" s="41"/>
      <c r="P1" s="41"/>
    </row>
    <row r="2" spans="1:16" ht="15.75" customHeight="1">
      <c r="A2" s="1218" t="s">
        <v>342</v>
      </c>
      <c r="B2" s="1218"/>
      <c r="C2" s="1218"/>
      <c r="D2" s="1218"/>
      <c r="E2" s="1198"/>
      <c r="F2" s="1198"/>
      <c r="G2" s="1198"/>
      <c r="H2" s="1198"/>
      <c r="I2" s="1198"/>
      <c r="J2" s="1198"/>
      <c r="K2" s="1198"/>
      <c r="L2" s="1214" t="s">
        <v>359</v>
      </c>
      <c r="M2" s="1214"/>
      <c r="N2" s="1214"/>
      <c r="O2" s="44"/>
      <c r="P2" s="41"/>
    </row>
    <row r="3" spans="1:16" ht="18" customHeight="1">
      <c r="A3" s="1218" t="s">
        <v>343</v>
      </c>
      <c r="B3" s="1218"/>
      <c r="C3" s="1218"/>
      <c r="D3" s="1218"/>
      <c r="E3" s="1219" t="s">
        <v>476</v>
      </c>
      <c r="F3" s="1219"/>
      <c r="G3" s="1219"/>
      <c r="H3" s="1219"/>
      <c r="I3" s="1219"/>
      <c r="J3" s="1219"/>
      <c r="K3" s="45"/>
      <c r="L3" s="1213" t="s">
        <v>475</v>
      </c>
      <c r="M3" s="1213"/>
      <c r="N3" s="1213"/>
      <c r="O3" s="41"/>
      <c r="P3" s="41"/>
    </row>
    <row r="4" spans="1:16" ht="21" customHeight="1">
      <c r="A4" s="1212" t="s">
        <v>362</v>
      </c>
      <c r="B4" s="1212"/>
      <c r="C4" s="1212"/>
      <c r="D4" s="1212"/>
      <c r="E4" s="48"/>
      <c r="F4" s="49"/>
      <c r="G4" s="50"/>
      <c r="H4" s="50"/>
      <c r="I4" s="50"/>
      <c r="J4" s="50"/>
      <c r="K4" s="41"/>
      <c r="L4" s="1214" t="s">
        <v>354</v>
      </c>
      <c r="M4" s="1214"/>
      <c r="N4" s="1214"/>
      <c r="O4" s="44"/>
      <c r="P4" s="41"/>
    </row>
    <row r="5" spans="1:16" ht="18" customHeight="1">
      <c r="A5" s="50"/>
      <c r="B5" s="41"/>
      <c r="C5" s="51"/>
      <c r="D5" s="1210"/>
      <c r="E5" s="1210"/>
      <c r="F5" s="1210"/>
      <c r="G5" s="1210"/>
      <c r="H5" s="1210"/>
      <c r="I5" s="1210"/>
      <c r="J5" s="1210"/>
      <c r="K5" s="1210"/>
      <c r="L5" s="52" t="s">
        <v>363</v>
      </c>
      <c r="M5" s="52"/>
      <c r="N5" s="52"/>
      <c r="O5" s="41"/>
      <c r="P5" s="41"/>
    </row>
    <row r="6" spans="1:18" ht="33" customHeight="1">
      <c r="A6" s="1203" t="s">
        <v>72</v>
      </c>
      <c r="B6" s="1204"/>
      <c r="C6" s="1211" t="s">
        <v>364</v>
      </c>
      <c r="D6" s="1211"/>
      <c r="E6" s="1211"/>
      <c r="F6" s="1211"/>
      <c r="G6" s="1237" t="s">
        <v>7</v>
      </c>
      <c r="H6" s="1233"/>
      <c r="I6" s="1233"/>
      <c r="J6" s="1233"/>
      <c r="K6" s="1233"/>
      <c r="L6" s="1233"/>
      <c r="M6" s="1233"/>
      <c r="N6" s="1234"/>
      <c r="O6" s="1231" t="s">
        <v>365</v>
      </c>
      <c r="P6" s="1232"/>
      <c r="Q6" s="1232"/>
      <c r="R6" s="1223"/>
    </row>
    <row r="7" spans="1:18" ht="29.25" customHeight="1">
      <c r="A7" s="1205"/>
      <c r="B7" s="1206"/>
      <c r="C7" s="1211"/>
      <c r="D7" s="1211"/>
      <c r="E7" s="1211"/>
      <c r="F7" s="1211"/>
      <c r="G7" s="1237" t="s">
        <v>366</v>
      </c>
      <c r="H7" s="1233"/>
      <c r="I7" s="1233"/>
      <c r="J7" s="1234"/>
      <c r="K7" s="1237" t="s">
        <v>110</v>
      </c>
      <c r="L7" s="1233"/>
      <c r="M7" s="1233"/>
      <c r="N7" s="1234"/>
      <c r="O7" s="54" t="s">
        <v>367</v>
      </c>
      <c r="P7" s="54" t="s">
        <v>368</v>
      </c>
      <c r="Q7" s="1224" t="s">
        <v>369</v>
      </c>
      <c r="R7" s="1224" t="s">
        <v>370</v>
      </c>
    </row>
    <row r="8" spans="1:18" ht="26.25" customHeight="1">
      <c r="A8" s="1205"/>
      <c r="B8" s="1206"/>
      <c r="C8" s="1229" t="s">
        <v>107</v>
      </c>
      <c r="D8" s="1202"/>
      <c r="E8" s="1229" t="s">
        <v>106</v>
      </c>
      <c r="F8" s="1202"/>
      <c r="G8" s="1229" t="s">
        <v>108</v>
      </c>
      <c r="H8" s="1230"/>
      <c r="I8" s="1229" t="s">
        <v>109</v>
      </c>
      <c r="J8" s="1230"/>
      <c r="K8" s="1229" t="s">
        <v>111</v>
      </c>
      <c r="L8" s="1230"/>
      <c r="M8" s="1229" t="s">
        <v>112</v>
      </c>
      <c r="N8" s="1230"/>
      <c r="O8" s="1226" t="s">
        <v>371</v>
      </c>
      <c r="P8" s="1227" t="s">
        <v>372</v>
      </c>
      <c r="Q8" s="1224"/>
      <c r="R8" s="1224"/>
    </row>
    <row r="9" spans="1:18" ht="30.75" customHeight="1">
      <c r="A9" s="1205"/>
      <c r="B9" s="1206"/>
      <c r="C9" s="55" t="s">
        <v>3</v>
      </c>
      <c r="D9" s="53" t="s">
        <v>10</v>
      </c>
      <c r="E9" s="53" t="s">
        <v>3</v>
      </c>
      <c r="F9" s="53" t="s">
        <v>10</v>
      </c>
      <c r="G9" s="56" t="s">
        <v>3</v>
      </c>
      <c r="H9" s="56" t="s">
        <v>10</v>
      </c>
      <c r="I9" s="56" t="s">
        <v>3</v>
      </c>
      <c r="J9" s="56" t="s">
        <v>10</v>
      </c>
      <c r="K9" s="56" t="s">
        <v>3</v>
      </c>
      <c r="L9" s="56" t="s">
        <v>10</v>
      </c>
      <c r="M9" s="56" t="s">
        <v>3</v>
      </c>
      <c r="N9" s="56" t="s">
        <v>10</v>
      </c>
      <c r="O9" s="1226"/>
      <c r="P9" s="1228"/>
      <c r="Q9" s="1225"/>
      <c r="R9" s="1225"/>
    </row>
    <row r="10" spans="1:18" s="61" customFormat="1" ht="18" customHeight="1">
      <c r="A10" s="1222" t="s">
        <v>6</v>
      </c>
      <c r="B10" s="1222"/>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216" t="s">
        <v>373</v>
      </c>
      <c r="B11" s="1217"/>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209" t="s">
        <v>477</v>
      </c>
      <c r="B12" s="1195"/>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207" t="s">
        <v>38</v>
      </c>
      <c r="B13" s="1208"/>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374</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375</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376</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377</v>
      </c>
    </row>
    <row r="18" spans="1:18" s="79" customFormat="1" ht="18" customHeight="1">
      <c r="A18" s="75" t="s">
        <v>58</v>
      </c>
      <c r="B18" s="76" t="s">
        <v>378</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379</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380</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381</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382</v>
      </c>
      <c r="AK21" s="61" t="s">
        <v>383</v>
      </c>
      <c r="AL21" s="61" t="s">
        <v>384</v>
      </c>
      <c r="AM21" s="72" t="s">
        <v>385</v>
      </c>
    </row>
    <row r="22" spans="1:39" s="61" customFormat="1" ht="18" customHeight="1">
      <c r="A22" s="75" t="s">
        <v>76</v>
      </c>
      <c r="B22" s="76" t="s">
        <v>386</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387</v>
      </c>
    </row>
    <row r="23" spans="1:18" s="61" customFormat="1" ht="18" customHeight="1">
      <c r="A23" s="75" t="s">
        <v>77</v>
      </c>
      <c r="B23" s="76" t="s">
        <v>388</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389</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382</v>
      </c>
    </row>
    <row r="25" spans="1:36" s="61" customFormat="1" ht="18" customHeight="1">
      <c r="A25" s="75" t="s">
        <v>101</v>
      </c>
      <c r="B25" s="76" t="s">
        <v>390</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391</v>
      </c>
    </row>
    <row r="26" spans="1:44" s="61" customFormat="1" ht="18" customHeight="1">
      <c r="A26" s="75" t="s">
        <v>102</v>
      </c>
      <c r="B26" s="76" t="s">
        <v>392</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215" t="s">
        <v>478</v>
      </c>
      <c r="C28" s="1215"/>
      <c r="D28" s="1215"/>
      <c r="E28" s="1215"/>
      <c r="F28" s="84"/>
      <c r="G28" s="85"/>
      <c r="H28" s="85"/>
      <c r="I28" s="85"/>
      <c r="J28" s="1215" t="s">
        <v>479</v>
      </c>
      <c r="K28" s="1215"/>
      <c r="L28" s="1215"/>
      <c r="M28" s="1215"/>
      <c r="N28" s="1215"/>
      <c r="O28" s="86"/>
      <c r="P28" s="86"/>
      <c r="AG28" s="87" t="s">
        <v>394</v>
      </c>
      <c r="AI28" s="88">
        <f>82/88</f>
        <v>0.9318181818181818</v>
      </c>
    </row>
    <row r="29" spans="1:16" s="94" customFormat="1" ht="19.5" customHeight="1">
      <c r="A29" s="89"/>
      <c r="B29" s="1241" t="s">
        <v>43</v>
      </c>
      <c r="C29" s="1241"/>
      <c r="D29" s="1241"/>
      <c r="E29" s="1241"/>
      <c r="F29" s="91"/>
      <c r="G29" s="92"/>
      <c r="H29" s="92"/>
      <c r="I29" s="92"/>
      <c r="J29" s="1241" t="s">
        <v>395</v>
      </c>
      <c r="K29" s="1241"/>
      <c r="L29" s="1241"/>
      <c r="M29" s="1241"/>
      <c r="N29" s="1241"/>
      <c r="O29" s="93"/>
      <c r="P29" s="93"/>
    </row>
    <row r="30" spans="1:16" s="94" customFormat="1" ht="19.5" customHeight="1">
      <c r="A30" s="89"/>
      <c r="B30" s="1220"/>
      <c r="C30" s="1220"/>
      <c r="D30" s="1220"/>
      <c r="E30" s="91"/>
      <c r="F30" s="91"/>
      <c r="G30" s="92"/>
      <c r="H30" s="92"/>
      <c r="I30" s="92"/>
      <c r="J30" s="1221"/>
      <c r="K30" s="1221"/>
      <c r="L30" s="1221"/>
      <c r="M30" s="1221"/>
      <c r="N30" s="1221"/>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236" t="s">
        <v>396</v>
      </c>
      <c r="C32" s="1236"/>
      <c r="D32" s="1236"/>
      <c r="E32" s="1236"/>
      <c r="F32" s="96"/>
      <c r="G32" s="97"/>
      <c r="H32" s="97"/>
      <c r="I32" s="97"/>
      <c r="J32" s="1235" t="s">
        <v>396</v>
      </c>
      <c r="K32" s="1235"/>
      <c r="L32" s="1235"/>
      <c r="M32" s="1235"/>
      <c r="N32" s="1235"/>
      <c r="O32" s="93"/>
      <c r="P32" s="93"/>
    </row>
    <row r="33" spans="1:16" s="94" customFormat="1" ht="19.5" customHeight="1">
      <c r="A33" s="89"/>
      <c r="B33" s="1241" t="s">
        <v>397</v>
      </c>
      <c r="C33" s="1241"/>
      <c r="D33" s="1241"/>
      <c r="E33" s="1241"/>
      <c r="F33" s="91"/>
      <c r="G33" s="92"/>
      <c r="H33" s="92"/>
      <c r="I33" s="92"/>
      <c r="J33" s="90"/>
      <c r="K33" s="1241" t="s">
        <v>397</v>
      </c>
      <c r="L33" s="1241"/>
      <c r="M33" s="1241"/>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200" t="s">
        <v>350</v>
      </c>
      <c r="C36" s="1200"/>
      <c r="D36" s="1200"/>
      <c r="E36" s="1200"/>
      <c r="F36" s="100"/>
      <c r="G36" s="100"/>
      <c r="H36" s="100"/>
      <c r="I36" s="100"/>
      <c r="J36" s="1201" t="s">
        <v>351</v>
      </c>
      <c r="K36" s="1201"/>
      <c r="L36" s="1201"/>
      <c r="M36" s="1201"/>
      <c r="N36" s="1201"/>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6:E36"/>
    <mergeCell ref="J36:N36"/>
    <mergeCell ref="B29:E29"/>
    <mergeCell ref="E8:F8"/>
    <mergeCell ref="G8:H8"/>
    <mergeCell ref="C8:D8"/>
    <mergeCell ref="A6:B9"/>
    <mergeCell ref="A13:B13"/>
    <mergeCell ref="A12:B12"/>
    <mergeCell ref="I8:J8"/>
    <mergeCell ref="L2:N2"/>
    <mergeCell ref="L3:N3"/>
    <mergeCell ref="L4:N4"/>
    <mergeCell ref="M8:N8"/>
    <mergeCell ref="K7:N7"/>
    <mergeCell ref="D5:K5"/>
    <mergeCell ref="C6:F7"/>
    <mergeCell ref="A4:D4"/>
    <mergeCell ref="E1:K2"/>
    <mergeCell ref="A1:D1"/>
    <mergeCell ref="A2:D2"/>
    <mergeCell ref="E3:J3"/>
    <mergeCell ref="A3:D3"/>
    <mergeCell ref="B30:D30"/>
    <mergeCell ref="J30:N30"/>
    <mergeCell ref="A10:B10"/>
    <mergeCell ref="B28:E28"/>
    <mergeCell ref="J28:N28"/>
    <mergeCell ref="J29:N29"/>
    <mergeCell ref="A11:B11"/>
    <mergeCell ref="G7:J7"/>
    <mergeCell ref="K8:L8"/>
    <mergeCell ref="O6:R6"/>
    <mergeCell ref="R7:R9"/>
    <mergeCell ref="Q7:Q9"/>
    <mergeCell ref="O8:O9"/>
    <mergeCell ref="P8:P9"/>
    <mergeCell ref="G6:N6"/>
    <mergeCell ref="B33:E33"/>
    <mergeCell ref="K33:M33"/>
    <mergeCell ref="J32:N32"/>
    <mergeCell ref="B32:E32"/>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39"/>
  <sheetViews>
    <sheetView showZeros="0" view="pageBreakPreview" zoomScaleNormal="80" zoomScaleSheetLayoutView="100" zoomScalePageLayoutView="0" workbookViewId="0" topLeftCell="A16">
      <selection activeCell="C31" sqref="C31"/>
    </sheetView>
  </sheetViews>
  <sheetFormatPr defaultColWidth="9.00390625" defaultRowHeight="15.75"/>
  <cols>
    <col min="1" max="1" width="4.25390625" style="421" customWidth="1"/>
    <col min="2" max="2" width="64.25390625" style="421" customWidth="1"/>
    <col min="3" max="3" width="52.25390625" style="421" customWidth="1"/>
    <col min="4" max="4" width="10.875" style="421" bestFit="1" customWidth="1"/>
    <col min="5" max="16384" width="9.00390625" style="421" customWidth="1"/>
  </cols>
  <sheetData>
    <row r="1" spans="1:3" s="435" customFormat="1" ht="24.75" customHeight="1">
      <c r="A1" s="1511" t="s">
        <v>206</v>
      </c>
      <c r="B1" s="1512"/>
      <c r="C1" s="1512"/>
    </row>
    <row r="2" spans="1:3" s="460" customFormat="1" ht="15" customHeight="1">
      <c r="A2" s="1513" t="s">
        <v>70</v>
      </c>
      <c r="B2" s="1514"/>
      <c r="C2" s="905" t="s">
        <v>771</v>
      </c>
    </row>
    <row r="3" spans="1:3" s="438" customFormat="1" ht="11.25" customHeight="1">
      <c r="A3" s="1524" t="s">
        <v>6</v>
      </c>
      <c r="B3" s="1525"/>
      <c r="C3" s="14">
        <v>1</v>
      </c>
    </row>
    <row r="4" spans="1:4" s="438" customFormat="1" ht="14.25" customHeight="1">
      <c r="A4" s="929" t="s">
        <v>52</v>
      </c>
      <c r="B4" s="930" t="s">
        <v>570</v>
      </c>
      <c r="C4" s="893">
        <f>'04'!C21</f>
        <v>30520614</v>
      </c>
      <c r="D4" s="940">
        <f>C5+C6+C7+C8+C9+C10+C11+C12+C13-C4</f>
        <v>0</v>
      </c>
    </row>
    <row r="5" spans="1:4" s="26" customFormat="1" ht="15" customHeight="1">
      <c r="A5" s="19" t="s">
        <v>54</v>
      </c>
      <c r="B5" s="925" t="s">
        <v>168</v>
      </c>
      <c r="C5" s="926">
        <f>528083+13061838+0+885576</f>
        <v>14475497</v>
      </c>
      <c r="D5" s="940"/>
    </row>
    <row r="6" spans="1:4" s="26" customFormat="1" ht="14.25" customHeight="1">
      <c r="A6" s="19" t="s">
        <v>55</v>
      </c>
      <c r="B6" s="925" t="s">
        <v>170</v>
      </c>
      <c r="C6" s="926">
        <f>355554+1242019+17500+301019+6404573+0</f>
        <v>8320665</v>
      </c>
      <c r="D6" s="940"/>
    </row>
    <row r="7" spans="1:4" s="26" customFormat="1" ht="14.25" customHeight="1">
      <c r="A7" s="19" t="s">
        <v>141</v>
      </c>
      <c r="B7" s="925" t="s">
        <v>180</v>
      </c>
      <c r="C7" s="926">
        <v>0</v>
      </c>
      <c r="D7" s="940"/>
    </row>
    <row r="8" spans="1:4" s="26" customFormat="1" ht="14.25" customHeight="1">
      <c r="A8" s="19" t="s">
        <v>143</v>
      </c>
      <c r="B8" s="925" t="s">
        <v>172</v>
      </c>
      <c r="C8" s="926">
        <f>137884+2666920+0</f>
        <v>2804804</v>
      </c>
      <c r="D8" s="940"/>
    </row>
    <row r="9" spans="1:4" s="26" customFormat="1" ht="14.25" customHeight="1">
      <c r="A9" s="19" t="s">
        <v>145</v>
      </c>
      <c r="B9" s="925" t="s">
        <v>156</v>
      </c>
      <c r="C9" s="926">
        <v>4919648</v>
      </c>
      <c r="D9" s="940"/>
    </row>
    <row r="10" spans="1:4" s="26" customFormat="1" ht="13.5" customHeight="1">
      <c r="A10" s="19" t="s">
        <v>147</v>
      </c>
      <c r="B10" s="925" t="s">
        <v>185</v>
      </c>
      <c r="C10" s="926">
        <v>0</v>
      </c>
      <c r="D10" s="940"/>
    </row>
    <row r="11" spans="1:4" s="26" customFormat="1" ht="14.25" customHeight="1">
      <c r="A11" s="19" t="s">
        <v>149</v>
      </c>
      <c r="B11" s="925" t="s">
        <v>158</v>
      </c>
      <c r="C11" s="926">
        <v>0</v>
      </c>
      <c r="D11" s="940"/>
    </row>
    <row r="12" spans="1:4" s="439" customFormat="1" ht="13.5" customHeight="1">
      <c r="A12" s="19" t="s">
        <v>186</v>
      </c>
      <c r="B12" s="925" t="s">
        <v>187</v>
      </c>
      <c r="C12" s="927">
        <v>0</v>
      </c>
      <c r="D12" s="941"/>
    </row>
    <row r="13" spans="1:4" s="439" customFormat="1" ht="12" customHeight="1">
      <c r="A13" s="19" t="s">
        <v>573</v>
      </c>
      <c r="B13" s="925" t="s">
        <v>160</v>
      </c>
      <c r="C13" s="927">
        <v>0</v>
      </c>
      <c r="D13" s="941"/>
    </row>
    <row r="14" spans="1:4" s="439" customFormat="1" ht="12.75" customHeight="1">
      <c r="A14" s="929" t="s">
        <v>53</v>
      </c>
      <c r="B14" s="930" t="s">
        <v>571</v>
      </c>
      <c r="C14" s="931">
        <f>'04'!C22</f>
        <v>2833581</v>
      </c>
      <c r="D14" s="941">
        <f>C15+C16-C14</f>
        <v>0</v>
      </c>
    </row>
    <row r="15" spans="1:4" s="439" customFormat="1" ht="13.5" customHeight="1">
      <c r="A15" s="19" t="s">
        <v>56</v>
      </c>
      <c r="B15" s="925" t="s">
        <v>188</v>
      </c>
      <c r="C15" s="926">
        <v>2833581</v>
      </c>
      <c r="D15" s="941"/>
    </row>
    <row r="16" spans="1:4" s="439" customFormat="1" ht="12.75" customHeight="1">
      <c r="A16" s="19" t="s">
        <v>57</v>
      </c>
      <c r="B16" s="925" t="s">
        <v>160</v>
      </c>
      <c r="C16" s="926"/>
      <c r="D16" s="941"/>
    </row>
    <row r="17" spans="1:4" s="438" customFormat="1" ht="13.5" customHeight="1">
      <c r="A17" s="929" t="s">
        <v>58</v>
      </c>
      <c r="B17" s="906" t="s">
        <v>150</v>
      </c>
      <c r="C17" s="931">
        <f>'04'!C24</f>
        <v>141804318</v>
      </c>
      <c r="D17" s="940">
        <f>C18+C19+C20-C17</f>
        <v>0</v>
      </c>
    </row>
    <row r="18" spans="1:4" ht="14.25" customHeight="1">
      <c r="A18" s="19" t="s">
        <v>161</v>
      </c>
      <c r="B18" s="925" t="s">
        <v>189</v>
      </c>
      <c r="C18" s="926">
        <f>448702+41097+355000+644574+55153237+16680981</f>
        <v>73323591</v>
      </c>
      <c r="D18" s="940"/>
    </row>
    <row r="19" spans="1:4" s="26" customFormat="1" ht="13.5" customHeight="1">
      <c r="A19" s="19" t="s">
        <v>163</v>
      </c>
      <c r="B19" s="925" t="s">
        <v>164</v>
      </c>
      <c r="C19" s="926">
        <f>116542+6066575+34149194+0</f>
        <v>40332311</v>
      </c>
      <c r="D19" s="940"/>
    </row>
    <row r="20" spans="1:4" s="26" customFormat="1" ht="14.25" customHeight="1">
      <c r="A20" s="19" t="s">
        <v>165</v>
      </c>
      <c r="B20" s="925" t="s">
        <v>166</v>
      </c>
      <c r="C20" s="926">
        <v>28148416</v>
      </c>
      <c r="D20" s="940"/>
    </row>
    <row r="21" spans="1:4" s="26" customFormat="1" ht="13.5" customHeight="1">
      <c r="A21" s="932" t="s">
        <v>73</v>
      </c>
      <c r="B21" s="930" t="s">
        <v>568</v>
      </c>
      <c r="C21" s="931">
        <f>'04'!C19</f>
        <v>178114156</v>
      </c>
      <c r="D21" s="940">
        <f>C22+C23+C24+C25+C26+C27+C28-C21</f>
        <v>0</v>
      </c>
    </row>
    <row r="22" spans="1:4" s="26" customFormat="1" ht="13.5" customHeight="1">
      <c r="A22" s="19" t="s">
        <v>167</v>
      </c>
      <c r="B22" s="925" t="s">
        <v>168</v>
      </c>
      <c r="C22" s="926">
        <v>172410739</v>
      </c>
      <c r="D22" s="940"/>
    </row>
    <row r="23" spans="1:4" s="26" customFormat="1" ht="14.25" customHeight="1">
      <c r="A23" s="19" t="s">
        <v>169</v>
      </c>
      <c r="B23" s="925" t="s">
        <v>170</v>
      </c>
      <c r="C23" s="926">
        <v>0</v>
      </c>
      <c r="D23" s="940"/>
    </row>
    <row r="24" spans="1:4" s="26" customFormat="1" ht="13.5" customHeight="1">
      <c r="A24" s="19" t="s">
        <v>171</v>
      </c>
      <c r="B24" s="925" t="s">
        <v>190</v>
      </c>
      <c r="C24" s="926">
        <f>52946+40337+302804+114400+162000+2596993+135025+0</f>
        <v>3404505</v>
      </c>
      <c r="D24" s="940"/>
    </row>
    <row r="25" spans="1:4" s="26" customFormat="1" ht="14.25" customHeight="1">
      <c r="A25" s="19" t="s">
        <v>173</v>
      </c>
      <c r="B25" s="925" t="s">
        <v>155</v>
      </c>
      <c r="C25" s="926">
        <v>0</v>
      </c>
      <c r="D25" s="940"/>
    </row>
    <row r="26" spans="1:4" s="26" customFormat="1" ht="14.25" customHeight="1">
      <c r="A26" s="19" t="s">
        <v>174</v>
      </c>
      <c r="B26" s="925" t="s">
        <v>191</v>
      </c>
      <c r="C26" s="926">
        <v>2298912</v>
      </c>
      <c r="D26" s="940"/>
    </row>
    <row r="27" spans="1:4" s="26" customFormat="1" ht="14.25" customHeight="1">
      <c r="A27" s="19" t="s">
        <v>175</v>
      </c>
      <c r="B27" s="925" t="s">
        <v>158</v>
      </c>
      <c r="C27" s="926">
        <v>0</v>
      </c>
      <c r="D27" s="940"/>
    </row>
    <row r="28" spans="1:4" s="26" customFormat="1" ht="14.25" customHeight="1">
      <c r="A28" s="19" t="s">
        <v>192</v>
      </c>
      <c r="B28" s="925" t="s">
        <v>193</v>
      </c>
      <c r="C28" s="926">
        <v>0</v>
      </c>
      <c r="D28" s="940"/>
    </row>
    <row r="29" spans="1:4" s="26" customFormat="1" ht="13.5" customHeight="1">
      <c r="A29" s="929" t="s">
        <v>74</v>
      </c>
      <c r="B29" s="930" t="s">
        <v>572</v>
      </c>
      <c r="C29" s="931">
        <f>'04'!C25</f>
        <v>234380814</v>
      </c>
      <c r="D29" s="940">
        <f>C30+C31+C32-C29</f>
        <v>0</v>
      </c>
    </row>
    <row r="30" spans="1:4" ht="15" customHeight="1">
      <c r="A30" s="19" t="s">
        <v>177</v>
      </c>
      <c r="B30" s="925" t="s">
        <v>168</v>
      </c>
      <c r="C30" s="926">
        <v>233910866</v>
      </c>
      <c r="D30" s="903"/>
    </row>
    <row r="31" spans="1:4" s="26" customFormat="1" ht="13.5" customHeight="1">
      <c r="A31" s="19" t="s">
        <v>178</v>
      </c>
      <c r="B31" s="925" t="s">
        <v>170</v>
      </c>
      <c r="C31" s="926">
        <v>180</v>
      </c>
      <c r="D31" s="883"/>
    </row>
    <row r="32" spans="1:4" s="26" customFormat="1" ht="12.75" customHeight="1" thickBot="1">
      <c r="A32" s="933" t="s">
        <v>179</v>
      </c>
      <c r="B32" s="934" t="s">
        <v>190</v>
      </c>
      <c r="C32" s="928">
        <f>353278+19754+21235+75501+0</f>
        <v>469768</v>
      </c>
      <c r="D32" s="883"/>
    </row>
    <row r="33" spans="1:3" s="407" customFormat="1" ht="14.25" customHeight="1" thickTop="1">
      <c r="A33" s="1527"/>
      <c r="B33" s="1527"/>
      <c r="C33" s="935" t="str">
        <f>'Thong tin'!B9</f>
        <v>Bình Thuận, ngày 04 tháng 8 năm 2016</v>
      </c>
    </row>
    <row r="34" spans="1:3" s="461" customFormat="1" ht="16.5" customHeight="1">
      <c r="A34" s="1528" t="s">
        <v>4</v>
      </c>
      <c r="B34" s="1528"/>
      <c r="C34" s="936" t="str">
        <f>'Thong tin'!B7</f>
        <v>KT. CỤC TRƯỞNG</v>
      </c>
    </row>
    <row r="35" spans="1:3" s="407" customFormat="1" ht="18" customHeight="1">
      <c r="A35" s="937"/>
      <c r="B35" s="938"/>
      <c r="C35" s="936" t="str">
        <f>'Thong tin'!B8</f>
        <v>PHÓ CỤC TRƯỞNG</v>
      </c>
    </row>
    <row r="36" spans="1:3" s="407" customFormat="1" ht="16.5">
      <c r="A36" s="937"/>
      <c r="B36" s="938"/>
      <c r="C36" s="938"/>
    </row>
    <row r="37" spans="1:3" s="407" customFormat="1" ht="16.5">
      <c r="A37" s="937"/>
      <c r="B37" s="937"/>
      <c r="C37" s="937"/>
    </row>
    <row r="38" spans="1:3" ht="16.5">
      <c r="A38" s="463"/>
      <c r="B38" s="938"/>
      <c r="C38" s="939"/>
    </row>
    <row r="39" spans="1:3" s="438" customFormat="1" ht="16.5">
      <c r="A39" s="1526" t="str">
        <f>'Thong tin'!B5</f>
        <v>Trần Quốc Bảo</v>
      </c>
      <c r="B39" s="1526"/>
      <c r="C39" s="887" t="str">
        <f>'Thong tin'!B6</f>
        <v>Trần Nam</v>
      </c>
    </row>
  </sheetData>
  <sheetProtection/>
  <mergeCells count="6">
    <mergeCell ref="A2:B2"/>
    <mergeCell ref="A1:C1"/>
    <mergeCell ref="A3:B3"/>
    <mergeCell ref="A39:B39"/>
    <mergeCell ref="A33:B33"/>
    <mergeCell ref="A34:B34"/>
  </mergeCells>
  <printOptions/>
  <pageMargins left="0" right="0" top="0" bottom="0" header="0.5" footer="0.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40"/>
  <sheetViews>
    <sheetView showZeros="0" view="pageBreakPreview" zoomScaleNormal="80" zoomScaleSheetLayoutView="100" zoomScalePageLayoutView="0" workbookViewId="0" topLeftCell="A4">
      <selection activeCell="H32" sqref="H32:L32"/>
    </sheetView>
  </sheetViews>
  <sheetFormatPr defaultColWidth="9.00390625" defaultRowHeight="15.75"/>
  <cols>
    <col min="1" max="1" width="3.25390625" style="466" customWidth="1"/>
    <col min="2" max="2" width="19.875" style="466" customWidth="1"/>
    <col min="3" max="3" width="13.375" style="466" customWidth="1"/>
    <col min="4" max="4" width="12.125" style="466" customWidth="1"/>
    <col min="5" max="5" width="11.375" style="466" customWidth="1"/>
    <col min="6" max="7" width="9.375" style="466" customWidth="1"/>
    <col min="8" max="8" width="9.625" style="466" customWidth="1"/>
    <col min="9" max="10" width="9.375" style="466" customWidth="1"/>
    <col min="11" max="12" width="12.25390625" style="466" customWidth="1"/>
    <col min="13" max="13" width="11.375" style="465" hidden="1" customWidth="1"/>
    <col min="14" max="14" width="18.125" style="465" hidden="1" customWidth="1"/>
    <col min="15" max="15" width="10.875" style="465" hidden="1" customWidth="1"/>
    <col min="16" max="16" width="13.25390625" style="465" hidden="1" customWidth="1"/>
    <col min="17" max="17" width="0" style="465" hidden="1" customWidth="1"/>
    <col min="18" max="18" width="9.50390625" style="465" hidden="1" customWidth="1"/>
    <col min="19" max="16384" width="9.00390625" style="466" customWidth="1"/>
  </cols>
  <sheetData>
    <row r="1" spans="1:13" ht="21" customHeight="1">
      <c r="A1" s="1544" t="s">
        <v>33</v>
      </c>
      <c r="B1" s="1545"/>
      <c r="C1" s="463"/>
      <c r="D1" s="1526" t="s">
        <v>79</v>
      </c>
      <c r="E1" s="1526"/>
      <c r="F1" s="1526"/>
      <c r="G1" s="1526"/>
      <c r="H1" s="1526"/>
      <c r="I1" s="1526"/>
      <c r="J1" s="1526"/>
      <c r="K1" s="1547" t="s">
        <v>555</v>
      </c>
      <c r="L1" s="1547"/>
      <c r="M1" s="464"/>
    </row>
    <row r="2" spans="1:13" ht="16.5" customHeight="1">
      <c r="A2" s="1517" t="s">
        <v>342</v>
      </c>
      <c r="B2" s="1517"/>
      <c r="C2" s="1517"/>
      <c r="D2" s="1526" t="s">
        <v>216</v>
      </c>
      <c r="E2" s="1526"/>
      <c r="F2" s="1526"/>
      <c r="G2" s="1526"/>
      <c r="H2" s="1526"/>
      <c r="I2" s="1526"/>
      <c r="J2" s="1526"/>
      <c r="K2" s="1548" t="str">
        <f>'Thong tin'!B4</f>
        <v>Cục THADS tỉnh Bình Thuận</v>
      </c>
      <c r="L2" s="1548"/>
      <c r="M2" s="467"/>
    </row>
    <row r="3" spans="1:13" ht="16.5" customHeight="1">
      <c r="A3" s="1517" t="s">
        <v>343</v>
      </c>
      <c r="B3" s="1517"/>
      <c r="C3" s="413"/>
      <c r="D3" s="1546" t="str">
        <f>'Thong tin'!B3</f>
        <v>10 tháng / năm 2016</v>
      </c>
      <c r="E3" s="1546"/>
      <c r="F3" s="1546"/>
      <c r="G3" s="1546"/>
      <c r="H3" s="1546"/>
      <c r="I3" s="1546"/>
      <c r="J3" s="1546"/>
      <c r="K3" s="1547" t="s">
        <v>521</v>
      </c>
      <c r="L3" s="1547"/>
      <c r="M3" s="464"/>
    </row>
    <row r="4" spans="1:13" ht="13.5" customHeight="1">
      <c r="A4" s="433" t="s">
        <v>119</v>
      </c>
      <c r="B4" s="433"/>
      <c r="C4" s="418"/>
      <c r="D4" s="468"/>
      <c r="E4" s="468"/>
      <c r="F4" s="469"/>
      <c r="G4" s="469"/>
      <c r="H4" s="469"/>
      <c r="I4" s="469"/>
      <c r="J4" s="469"/>
      <c r="K4" s="1548" t="s">
        <v>410</v>
      </c>
      <c r="L4" s="1548"/>
      <c r="M4" s="467"/>
    </row>
    <row r="5" spans="1:13" ht="14.25" customHeight="1">
      <c r="A5" s="468"/>
      <c r="B5" s="468" t="s">
        <v>94</v>
      </c>
      <c r="C5" s="468"/>
      <c r="D5" s="468"/>
      <c r="E5" s="1543" t="s">
        <v>520</v>
      </c>
      <c r="F5" s="1543"/>
      <c r="G5" s="1543"/>
      <c r="H5" s="1543"/>
      <c r="I5" s="1543"/>
      <c r="J5" s="468"/>
      <c r="K5" s="1552" t="s">
        <v>195</v>
      </c>
      <c r="L5" s="1552"/>
      <c r="M5" s="464"/>
    </row>
    <row r="6" spans="1:16" ht="18" customHeight="1">
      <c r="A6" s="1245" t="s">
        <v>71</v>
      </c>
      <c r="B6" s="1246"/>
      <c r="C6" s="1531" t="s">
        <v>38</v>
      </c>
      <c r="D6" s="1553" t="s">
        <v>339</v>
      </c>
      <c r="E6" s="1553"/>
      <c r="F6" s="1553"/>
      <c r="G6" s="1553"/>
      <c r="H6" s="1553"/>
      <c r="I6" s="1553"/>
      <c r="J6" s="1553"/>
      <c r="K6" s="1553"/>
      <c r="L6" s="1553"/>
      <c r="M6" s="467"/>
      <c r="N6" s="1580" t="s">
        <v>517</v>
      </c>
      <c r="O6" s="1580"/>
      <c r="P6" s="1580"/>
    </row>
    <row r="7" spans="1:13" ht="18.75" customHeight="1">
      <c r="A7" s="1247"/>
      <c r="B7" s="1248"/>
      <c r="C7" s="1531"/>
      <c r="D7" s="1554" t="s">
        <v>207</v>
      </c>
      <c r="E7" s="1555"/>
      <c r="F7" s="1555"/>
      <c r="G7" s="1555"/>
      <c r="H7" s="1555"/>
      <c r="I7" s="1555"/>
      <c r="J7" s="1556"/>
      <c r="K7" s="1557" t="s">
        <v>208</v>
      </c>
      <c r="L7" s="1557" t="s">
        <v>209</v>
      </c>
      <c r="M7" s="464"/>
    </row>
    <row r="8" spans="1:13" ht="16.5" customHeight="1">
      <c r="A8" s="1247"/>
      <c r="B8" s="1248"/>
      <c r="C8" s="1531"/>
      <c r="D8" s="1532" t="s">
        <v>37</v>
      </c>
      <c r="E8" s="1540" t="s">
        <v>7</v>
      </c>
      <c r="F8" s="1541"/>
      <c r="G8" s="1541"/>
      <c r="H8" s="1541"/>
      <c r="I8" s="1541"/>
      <c r="J8" s="1542"/>
      <c r="K8" s="1558"/>
      <c r="L8" s="1560"/>
      <c r="M8" s="464"/>
    </row>
    <row r="9" spans="1:16" ht="17.25" customHeight="1">
      <c r="A9" s="1535"/>
      <c r="B9" s="1536"/>
      <c r="C9" s="1531"/>
      <c r="D9" s="1532"/>
      <c r="E9" s="510" t="s">
        <v>210</v>
      </c>
      <c r="F9" s="510" t="s">
        <v>211</v>
      </c>
      <c r="G9" s="510" t="s">
        <v>212</v>
      </c>
      <c r="H9" s="510" t="s">
        <v>213</v>
      </c>
      <c r="I9" s="510" t="s">
        <v>344</v>
      </c>
      <c r="J9" s="510" t="s">
        <v>214</v>
      </c>
      <c r="K9" s="1559"/>
      <c r="L9" s="1561"/>
      <c r="M9" s="1529" t="s">
        <v>500</v>
      </c>
      <c r="N9" s="1529"/>
      <c r="O9" s="1529"/>
      <c r="P9" s="1529"/>
    </row>
    <row r="10" spans="1:18" s="476" customFormat="1" ht="13.5" customHeight="1">
      <c r="A10" s="1533" t="s">
        <v>6</v>
      </c>
      <c r="B10" s="1534"/>
      <c r="C10" s="471">
        <v>1</v>
      </c>
      <c r="D10" s="472">
        <v>2</v>
      </c>
      <c r="E10" s="471">
        <v>3</v>
      </c>
      <c r="F10" s="472">
        <v>4</v>
      </c>
      <c r="G10" s="471">
        <v>5</v>
      </c>
      <c r="H10" s="472">
        <v>6</v>
      </c>
      <c r="I10" s="471">
        <v>7</v>
      </c>
      <c r="J10" s="472">
        <v>8</v>
      </c>
      <c r="K10" s="471">
        <v>9</v>
      </c>
      <c r="L10" s="472">
        <v>10</v>
      </c>
      <c r="M10" s="473" t="s">
        <v>501</v>
      </c>
      <c r="N10" s="474" t="s">
        <v>504</v>
      </c>
      <c r="O10" s="474" t="s">
        <v>502</v>
      </c>
      <c r="P10" s="474" t="s">
        <v>503</v>
      </c>
      <c r="Q10" s="475"/>
      <c r="R10" s="475"/>
    </row>
    <row r="11" spans="1:18" s="477" customFormat="1" ht="16.5" customHeight="1">
      <c r="A11" s="879" t="s">
        <v>0</v>
      </c>
      <c r="B11" s="880" t="s">
        <v>131</v>
      </c>
      <c r="C11" s="943">
        <f>C12+C13</f>
        <v>1316346519</v>
      </c>
      <c r="D11" s="943">
        <f aca="true" t="shared" si="0" ref="D11:L11">D12+D13</f>
        <v>38202853</v>
      </c>
      <c r="E11" s="943">
        <f t="shared" si="0"/>
        <v>28144742</v>
      </c>
      <c r="F11" s="943">
        <f t="shared" si="0"/>
        <v>154505</v>
      </c>
      <c r="G11" s="943">
        <f t="shared" si="0"/>
        <v>3448428</v>
      </c>
      <c r="H11" s="943">
        <f t="shared" si="0"/>
        <v>4321445</v>
      </c>
      <c r="I11" s="943">
        <f t="shared" si="0"/>
        <v>963114</v>
      </c>
      <c r="J11" s="943">
        <f t="shared" si="0"/>
        <v>1170619</v>
      </c>
      <c r="K11" s="943">
        <f t="shared" si="0"/>
        <v>604242890</v>
      </c>
      <c r="L11" s="943">
        <f t="shared" si="0"/>
        <v>673900776</v>
      </c>
      <c r="M11" s="404">
        <f>'03'!C11+'04'!C11</f>
        <v>1316346519</v>
      </c>
      <c r="N11" s="404">
        <f>C11-M11</f>
        <v>0</v>
      </c>
      <c r="O11" s="404">
        <f>'07'!C11</f>
        <v>1316346519</v>
      </c>
      <c r="P11" s="404">
        <f>C11-O11</f>
        <v>0</v>
      </c>
      <c r="Q11" s="390"/>
      <c r="R11" s="390"/>
    </row>
    <row r="12" spans="1:18" s="477" customFormat="1" ht="16.5" customHeight="1">
      <c r="A12" s="428">
        <v>1</v>
      </c>
      <c r="B12" s="871" t="s">
        <v>132</v>
      </c>
      <c r="C12" s="943">
        <f>D12+K12+L12</f>
        <v>840613123</v>
      </c>
      <c r="D12" s="944">
        <f>E12+F12+G12+H12+I12+J12</f>
        <v>22629737</v>
      </c>
      <c r="E12" s="945">
        <f>73977+918626+914279+1380249+400797+1002312+180485+1091703+1820862+4949691+2972408</f>
        <v>15705389</v>
      </c>
      <c r="F12" s="945">
        <f>94790+0</f>
        <v>94790</v>
      </c>
      <c r="G12" s="945">
        <f>113850+525830+118710+100064+8000+110310+225233+20000+1256581+84600+5000</f>
        <v>2568178</v>
      </c>
      <c r="H12" s="945">
        <f>98452+207301+128013+351624+9300+207468+155956+115618+955073+909573+41740</f>
        <v>3180118</v>
      </c>
      <c r="I12" s="945">
        <f>492882+158065+167619+0</f>
        <v>818566</v>
      </c>
      <c r="J12" s="945">
        <f>2999+178003+2215+43294+36185</f>
        <v>262696</v>
      </c>
      <c r="K12" s="963">
        <f>20730439+53283744+64248842+124001+4499750+4797083+15222758+39155709+227527936+73846602-119866251</f>
        <v>383570613</v>
      </c>
      <c r="L12" s="963">
        <f>11282281+252265472+37888107+24706536+26964571+17192763+3203354+22722985+25133545+11233184+1819975</f>
        <v>434412773</v>
      </c>
      <c r="M12" s="406">
        <f>'03'!C12+'04'!C12</f>
        <v>840613123</v>
      </c>
      <c r="N12" s="406">
        <f aca="true" t="shared" si="1" ref="N12:N26">C12-M12</f>
        <v>0</v>
      </c>
      <c r="O12" s="406">
        <f>'07'!D11</f>
        <v>840613123</v>
      </c>
      <c r="P12" s="406">
        <f aca="true" t="shared" si="2" ref="P12:P26">C12-O12</f>
        <v>0</v>
      </c>
      <c r="Q12" s="402"/>
      <c r="R12" s="427"/>
    </row>
    <row r="13" spans="1:18" s="477" customFormat="1" ht="15.75" customHeight="1">
      <c r="A13" s="428">
        <v>2</v>
      </c>
      <c r="B13" s="871" t="s">
        <v>133</v>
      </c>
      <c r="C13" s="943">
        <f>D13+K13+L13</f>
        <v>475733396</v>
      </c>
      <c r="D13" s="944">
        <f>E13+F13+G13+H13+I13+J13</f>
        <v>15573116</v>
      </c>
      <c r="E13" s="946">
        <f>684879+2583146+1727477+1832253+527059+680441+353242+1770902+1734452+495006+50496+0</f>
        <v>12439353</v>
      </c>
      <c r="F13" s="946">
        <f>59015+300+400</f>
        <v>59715</v>
      </c>
      <c r="G13" s="946">
        <f>12572+25000+610850+8000+33390+68037+20000+21451+14400+16550+50000+0</f>
        <v>880250</v>
      </c>
      <c r="H13" s="946">
        <f>465294+55740+236735+23202+88797+28957+36046+170076+36480+0</f>
        <v>1141327</v>
      </c>
      <c r="I13" s="946">
        <f>50000+79948+10000+4600+0</f>
        <v>144548</v>
      </c>
      <c r="J13" s="946">
        <f>553810+1+51533+249484+29454+23641</f>
        <v>907923</v>
      </c>
      <c r="K13" s="964">
        <f>113115320+39114716+2529813+7575987+12068012+11850412+763595+418100+13380598+1314818+208906+18332000</f>
        <v>220672277</v>
      </c>
      <c r="L13" s="964">
        <f>39195810+44844106+49188910+23105174+7653526+20548463+9536281+15519753+28425980+1356000+114000+0</f>
        <v>239488003</v>
      </c>
      <c r="M13" s="406">
        <f>'03'!C13+'04'!C13</f>
        <v>475733396</v>
      </c>
      <c r="N13" s="406">
        <f t="shared" si="1"/>
        <v>0</v>
      </c>
      <c r="O13" s="406">
        <f>'07'!E11</f>
        <v>475733396</v>
      </c>
      <c r="P13" s="406">
        <f t="shared" si="2"/>
        <v>0</v>
      </c>
      <c r="Q13" s="402"/>
      <c r="R13" s="427"/>
    </row>
    <row r="14" spans="1:18" s="477" customFormat="1" ht="15.75" customHeight="1">
      <c r="A14" s="872" t="s">
        <v>1</v>
      </c>
      <c r="B14" s="873" t="s">
        <v>134</v>
      </c>
      <c r="C14" s="943">
        <f>D14+K14+L14</f>
        <v>17206978</v>
      </c>
      <c r="D14" s="944">
        <f>E14+F14+G14+H14+I14+J14</f>
        <v>541777</v>
      </c>
      <c r="E14" s="947">
        <f>200+2815+32995+42636+9321+800+37740+1800+38764+51440+249454</f>
        <v>467965</v>
      </c>
      <c r="F14" s="947">
        <v>0</v>
      </c>
      <c r="G14" s="947">
        <f>2790+5000+15200</f>
        <v>22990</v>
      </c>
      <c r="H14" s="947">
        <f>100+19300+700+20122+5000+1000</f>
        <v>46222</v>
      </c>
      <c r="I14" s="947">
        <v>4600</v>
      </c>
      <c r="J14" s="947">
        <v>0</v>
      </c>
      <c r="K14" s="965">
        <f>6014745+0</f>
        <v>6014745</v>
      </c>
      <c r="L14" s="965">
        <f>1356000+304934+1403956+100445+156500+1021500+256985+115120+4673074+237600+1024342</f>
        <v>10650456</v>
      </c>
      <c r="M14" s="406">
        <f>'03'!C14+'04'!C14</f>
        <v>17206978</v>
      </c>
      <c r="N14" s="406">
        <f t="shared" si="1"/>
        <v>0</v>
      </c>
      <c r="O14" s="406">
        <f>'07'!F11</f>
        <v>17206978</v>
      </c>
      <c r="P14" s="406">
        <f t="shared" si="2"/>
        <v>0</v>
      </c>
      <c r="Q14" s="390"/>
      <c r="R14" s="427"/>
    </row>
    <row r="15" spans="1:18" s="477" customFormat="1" ht="15" customHeight="1">
      <c r="A15" s="872" t="s">
        <v>9</v>
      </c>
      <c r="B15" s="873" t="s">
        <v>135</v>
      </c>
      <c r="C15" s="943">
        <f>D15+K15+L15</f>
        <v>143638192</v>
      </c>
      <c r="D15" s="944">
        <f>E15+F15+G15+H15+I15+J15</f>
        <v>299131</v>
      </c>
      <c r="E15" s="947">
        <f>67783+43471+45120+142757+0</f>
        <v>299131</v>
      </c>
      <c r="F15" s="947">
        <v>0</v>
      </c>
      <c r="G15" s="947">
        <v>0</v>
      </c>
      <c r="H15" s="947">
        <v>0</v>
      </c>
      <c r="I15" s="947">
        <v>0</v>
      </c>
      <c r="J15" s="947">
        <v>0</v>
      </c>
      <c r="K15" s="965">
        <f>84282905+1466156+20634084+0</f>
        <v>106383145</v>
      </c>
      <c r="L15" s="965">
        <f>11720925+22239892+2995099+0</f>
        <v>36955916</v>
      </c>
      <c r="M15" s="406">
        <f>'03'!C15+'04'!C15</f>
        <v>143638192</v>
      </c>
      <c r="N15" s="406">
        <f t="shared" si="1"/>
        <v>0</v>
      </c>
      <c r="O15" s="406">
        <f>'07'!G11</f>
        <v>143638192</v>
      </c>
      <c r="P15" s="406">
        <f t="shared" si="2"/>
        <v>0</v>
      </c>
      <c r="Q15" s="390"/>
      <c r="R15" s="390"/>
    </row>
    <row r="16" spans="1:18" s="477" customFormat="1" ht="16.5" customHeight="1">
      <c r="A16" s="869" t="s">
        <v>136</v>
      </c>
      <c r="B16" s="874" t="s">
        <v>137</v>
      </c>
      <c r="C16" s="948">
        <f>C17+C26</f>
        <v>1299139541</v>
      </c>
      <c r="D16" s="948">
        <f aca="true" t="shared" si="3" ref="D16:L16">D17+D26</f>
        <v>37661076</v>
      </c>
      <c r="E16" s="948">
        <f t="shared" si="3"/>
        <v>27676777</v>
      </c>
      <c r="F16" s="948">
        <f t="shared" si="3"/>
        <v>154505</v>
      </c>
      <c r="G16" s="948">
        <f t="shared" si="3"/>
        <v>3425438</v>
      </c>
      <c r="H16" s="948">
        <f t="shared" si="3"/>
        <v>4275223</v>
      </c>
      <c r="I16" s="948">
        <f>I17+I26</f>
        <v>958514</v>
      </c>
      <c r="J16" s="948">
        <f t="shared" si="3"/>
        <v>1170619</v>
      </c>
      <c r="K16" s="966">
        <f t="shared" si="3"/>
        <v>598228145</v>
      </c>
      <c r="L16" s="967">
        <f t="shared" si="3"/>
        <v>663250320</v>
      </c>
      <c r="M16" s="404">
        <f>'03'!C16+'04'!C16</f>
        <v>1299139541</v>
      </c>
      <c r="N16" s="404">
        <f t="shared" si="1"/>
        <v>0</v>
      </c>
      <c r="O16" s="404">
        <f>'07'!H11</f>
        <v>1299139541</v>
      </c>
      <c r="P16" s="404">
        <f t="shared" si="2"/>
        <v>0</v>
      </c>
      <c r="Q16" s="390"/>
      <c r="R16" s="390"/>
    </row>
    <row r="17" spans="1:18" s="477" customFormat="1" ht="16.5" customHeight="1">
      <c r="A17" s="869" t="s">
        <v>52</v>
      </c>
      <c r="B17" s="881" t="s">
        <v>138</v>
      </c>
      <c r="C17" s="943">
        <f>C18+C19+C20+C21+C22+C23+C24+C25</f>
        <v>1054362177</v>
      </c>
      <c r="D17" s="943">
        <f aca="true" t="shared" si="4" ref="D17:L17">D18+D19+D20+D21+D22+D23+D24+D25</f>
        <v>27257581</v>
      </c>
      <c r="E17" s="943">
        <f t="shared" si="4"/>
        <v>21706205</v>
      </c>
      <c r="F17" s="943">
        <f t="shared" si="4"/>
        <v>84753</v>
      </c>
      <c r="G17" s="943">
        <f t="shared" si="4"/>
        <v>1531117</v>
      </c>
      <c r="H17" s="943">
        <f t="shared" si="4"/>
        <v>2294091</v>
      </c>
      <c r="I17" s="943">
        <f t="shared" si="4"/>
        <v>534488</v>
      </c>
      <c r="J17" s="943">
        <f t="shared" si="4"/>
        <v>1106927</v>
      </c>
      <c r="K17" s="967">
        <f t="shared" si="4"/>
        <v>449963241</v>
      </c>
      <c r="L17" s="967">
        <f t="shared" si="4"/>
        <v>577141355</v>
      </c>
      <c r="M17" s="404">
        <f>'03'!C17+'04'!C17</f>
        <v>1054362177</v>
      </c>
      <c r="N17" s="404">
        <f t="shared" si="1"/>
        <v>0</v>
      </c>
      <c r="O17" s="404">
        <f>'07'!I11</f>
        <v>1054362177</v>
      </c>
      <c r="P17" s="404">
        <f t="shared" si="2"/>
        <v>0</v>
      </c>
      <c r="Q17" s="390"/>
      <c r="R17" s="390"/>
    </row>
    <row r="18" spans="1:18" s="477" customFormat="1" ht="15.75" customHeight="1">
      <c r="A18" s="428" t="s">
        <v>54</v>
      </c>
      <c r="B18" s="871" t="s">
        <v>139</v>
      </c>
      <c r="C18" s="943">
        <f>D18+K18+L18</f>
        <v>111256951</v>
      </c>
      <c r="D18" s="949">
        <f>E18+F18+G18+H18+I18+J18</f>
        <v>10279615</v>
      </c>
      <c r="E18" s="950">
        <f>729085+1594476+962209+1559900+209412+537354+266705+609892+1005892+261805+50651</f>
        <v>7787381</v>
      </c>
      <c r="F18" s="950">
        <f>57116+300+200</f>
        <v>57616</v>
      </c>
      <c r="G18" s="950">
        <f>50000+19950+1000+500+8000+48700+38630+3000+134936+28200+11372+0</f>
        <v>344288</v>
      </c>
      <c r="H18" s="950">
        <f>73152+131358+80796+28257+65481+2136+165583+51800+220796+0+176022</f>
        <v>995381</v>
      </c>
      <c r="I18" s="950">
        <f>50000+29867+860+1000+0</f>
        <v>81727</v>
      </c>
      <c r="J18" s="950">
        <f>24641+139700+234016+39035+1+575829</f>
        <v>1013222</v>
      </c>
      <c r="K18" s="968">
        <f>208906+462479+4517573+9788922+719229+1894057+946777+2870528+9500000+11571408+6392510+0-896021</f>
        <v>47976368</v>
      </c>
      <c r="L18" s="968">
        <f>165737+2569909+2203471+2315583+1606840+6114831+1238399+7495582+5651396+20638936+3000284</f>
        <v>53000968</v>
      </c>
      <c r="M18" s="406">
        <f>'03'!C18+'04'!C18</f>
        <v>111256951</v>
      </c>
      <c r="N18" s="406">
        <f t="shared" si="1"/>
        <v>0</v>
      </c>
      <c r="O18" s="406">
        <f>'07'!J11</f>
        <v>111256951</v>
      </c>
      <c r="P18" s="406">
        <f t="shared" si="2"/>
        <v>0</v>
      </c>
      <c r="Q18" s="390"/>
      <c r="R18" s="390"/>
    </row>
    <row r="19" spans="1:18" s="477" customFormat="1" ht="16.5" customHeight="1">
      <c r="A19" s="428" t="s">
        <v>55</v>
      </c>
      <c r="B19" s="871" t="s">
        <v>140</v>
      </c>
      <c r="C19" s="943">
        <f aca="true" t="shared" si="5" ref="C19:C26">D19+K19+L19</f>
        <v>178856897</v>
      </c>
      <c r="D19" s="949">
        <f aca="true" t="shared" si="6" ref="D19:D26">E19+F19+G19+H19+I19+J19</f>
        <v>872741</v>
      </c>
      <c r="E19" s="950">
        <f>5165+35855+49859+700+673567+52495+0</f>
        <v>817641</v>
      </c>
      <c r="F19" s="950">
        <v>0</v>
      </c>
      <c r="G19" s="950">
        <f>12112+0</f>
        <v>12112</v>
      </c>
      <c r="H19" s="950">
        <f>34947+450</f>
        <v>35397</v>
      </c>
      <c r="I19" s="950">
        <v>0</v>
      </c>
      <c r="J19" s="950">
        <f>5434+2157+0</f>
        <v>7591</v>
      </c>
      <c r="K19" s="968">
        <f>3435133+36910137+357439+3614975+1374351+30337+9512+90</f>
        <v>45731974</v>
      </c>
      <c r="L19" s="968">
        <f>222486+121330752+969468+3828264+667200+1681917+1141787+1084426+719738+439948+166196</f>
        <v>132252182</v>
      </c>
      <c r="M19" s="406">
        <f>'03'!C19+'04'!C19</f>
        <v>178856897</v>
      </c>
      <c r="N19" s="406">
        <f t="shared" si="1"/>
        <v>0</v>
      </c>
      <c r="O19" s="406">
        <f>'07'!K11</f>
        <v>178856897</v>
      </c>
      <c r="P19" s="406">
        <f t="shared" si="2"/>
        <v>0</v>
      </c>
      <c r="Q19" s="390"/>
      <c r="R19" s="390"/>
    </row>
    <row r="20" spans="1:18" s="477" customFormat="1" ht="17.25" customHeight="1">
      <c r="A20" s="428" t="s">
        <v>141</v>
      </c>
      <c r="B20" s="871" t="s">
        <v>202</v>
      </c>
      <c r="C20" s="943">
        <f t="shared" si="5"/>
        <v>8790</v>
      </c>
      <c r="D20" s="949">
        <f t="shared" si="6"/>
        <v>8790</v>
      </c>
      <c r="E20" s="950">
        <v>3300</v>
      </c>
      <c r="F20" s="950">
        <v>0</v>
      </c>
      <c r="G20" s="950">
        <v>2990</v>
      </c>
      <c r="H20" s="950">
        <v>2500</v>
      </c>
      <c r="I20" s="950">
        <v>0</v>
      </c>
      <c r="J20" s="950">
        <v>0</v>
      </c>
      <c r="K20" s="968">
        <v>0</v>
      </c>
      <c r="L20" s="968">
        <v>0</v>
      </c>
      <c r="M20" s="406">
        <f>'03'!C20</f>
        <v>8790</v>
      </c>
      <c r="N20" s="406">
        <f t="shared" si="1"/>
        <v>0</v>
      </c>
      <c r="O20" s="406">
        <f>'07'!L11</f>
        <v>8790</v>
      </c>
      <c r="P20" s="406">
        <f t="shared" si="2"/>
        <v>0</v>
      </c>
      <c r="Q20" s="390"/>
      <c r="R20" s="390"/>
    </row>
    <row r="21" spans="1:18" s="477" customFormat="1" ht="17.25" customHeight="1">
      <c r="A21" s="428" t="s">
        <v>143</v>
      </c>
      <c r="B21" s="871" t="s">
        <v>142</v>
      </c>
      <c r="C21" s="943">
        <f t="shared" si="5"/>
        <v>585422962</v>
      </c>
      <c r="D21" s="949">
        <f t="shared" si="6"/>
        <v>14250887</v>
      </c>
      <c r="E21" s="950">
        <f>1364741+3133476+1322729+233942+103573+855646+309831+1877624+1401266+651452+18555</f>
        <v>11272835</v>
      </c>
      <c r="F21" s="950">
        <f>26937+200</f>
        <v>27137</v>
      </c>
      <c r="G21" s="950">
        <f>45850+148513+63370+33081+20000+14085+113628+24000+629300+54700+6200</f>
        <v>1152727</v>
      </c>
      <c r="H21" s="950">
        <f>41740+442065+270533+84614+82948+239778+86341+11294+0</f>
        <v>1259313</v>
      </c>
      <c r="I21" s="950">
        <f>222467+63535+166759+0</f>
        <v>452761</v>
      </c>
      <c r="J21" s="950">
        <f>8732+17683+57700+1999+0</f>
        <v>86114</v>
      </c>
      <c r="K21" s="968">
        <f>2729033+12515192+54878020+127270+11339355+2669964+6216902+1658638+105845880+94098334</f>
        <v>292078588</v>
      </c>
      <c r="L21" s="968">
        <f>1091362+22609423+37005269+16203924+5134886+27638916+8370183+19572737+21673453+79920881+39872453+0</f>
        <v>279093487</v>
      </c>
      <c r="M21" s="406">
        <f>'03'!C21+'04'!C20</f>
        <v>585422962</v>
      </c>
      <c r="N21" s="406">
        <f t="shared" si="1"/>
        <v>0</v>
      </c>
      <c r="O21" s="406">
        <f>'07'!M11</f>
        <v>585422962</v>
      </c>
      <c r="P21" s="406">
        <f t="shared" si="2"/>
        <v>0</v>
      </c>
      <c r="Q21" s="390"/>
      <c r="R21" s="390"/>
    </row>
    <row r="22" spans="1:18" s="477" customFormat="1" ht="17.25" customHeight="1">
      <c r="A22" s="428" t="s">
        <v>145</v>
      </c>
      <c r="B22" s="871" t="s">
        <v>144</v>
      </c>
      <c r="C22" s="943">
        <f t="shared" si="5"/>
        <v>30681976</v>
      </c>
      <c r="D22" s="949">
        <f t="shared" si="6"/>
        <v>161162</v>
      </c>
      <c r="E22" s="946">
        <f>2+6290+19724+5718+13731+37937+57260</f>
        <v>140662</v>
      </c>
      <c r="F22" s="946">
        <v>0</v>
      </c>
      <c r="G22" s="946">
        <v>19000</v>
      </c>
      <c r="H22" s="946">
        <f>1500</f>
        <v>1500</v>
      </c>
      <c r="I22" s="946">
        <v>0</v>
      </c>
      <c r="J22" s="946">
        <v>0</v>
      </c>
      <c r="K22" s="969">
        <f>12341530+2016255+1503381+0</f>
        <v>15861166</v>
      </c>
      <c r="L22" s="969">
        <f>3895447+6444573+301019+2414069+158884+696973+56000+120000+56000+513083+3600</f>
        <v>14659648</v>
      </c>
      <c r="M22" s="406">
        <f>'03'!C22+'04'!C21</f>
        <v>30681976</v>
      </c>
      <c r="N22" s="406">
        <f t="shared" si="1"/>
        <v>0</v>
      </c>
      <c r="O22" s="406">
        <f>'07'!N11</f>
        <v>30681976</v>
      </c>
      <c r="P22" s="406">
        <f t="shared" si="2"/>
        <v>0</v>
      </c>
      <c r="Q22" s="390"/>
      <c r="R22" s="390"/>
    </row>
    <row r="23" spans="1:18" s="477" customFormat="1" ht="16.5" customHeight="1">
      <c r="A23" s="428" t="s">
        <v>147</v>
      </c>
      <c r="B23" s="871" t="s">
        <v>146</v>
      </c>
      <c r="C23" s="943">
        <f t="shared" si="5"/>
        <v>2882784</v>
      </c>
      <c r="D23" s="949">
        <f t="shared" si="6"/>
        <v>49203</v>
      </c>
      <c r="E23" s="950">
        <f>35783+0+13420+0</f>
        <v>49203</v>
      </c>
      <c r="F23" s="950">
        <v>0</v>
      </c>
      <c r="G23" s="950">
        <v>0</v>
      </c>
      <c r="H23" s="950">
        <v>0</v>
      </c>
      <c r="I23" s="950">
        <v>0</v>
      </c>
      <c r="J23" s="950">
        <v>0</v>
      </c>
      <c r="K23" s="968">
        <f>651000</f>
        <v>651000</v>
      </c>
      <c r="L23" s="968">
        <f>1773979+408602+0</f>
        <v>2182581</v>
      </c>
      <c r="M23" s="406">
        <f>'03'!C23+'04'!C22</f>
        <v>2882784</v>
      </c>
      <c r="N23" s="406">
        <f t="shared" si="1"/>
        <v>0</v>
      </c>
      <c r="O23" s="406">
        <f>'07'!O11</f>
        <v>2882784</v>
      </c>
      <c r="P23" s="406">
        <f t="shared" si="2"/>
        <v>0</v>
      </c>
      <c r="Q23" s="390"/>
      <c r="R23" s="390"/>
    </row>
    <row r="24" spans="1:18" s="477" customFormat="1" ht="21" customHeight="1">
      <c r="A24" s="428" t="s">
        <v>149</v>
      </c>
      <c r="B24" s="431" t="s">
        <v>148</v>
      </c>
      <c r="C24" s="943">
        <f t="shared" si="5"/>
        <v>1812316</v>
      </c>
      <c r="D24" s="949">
        <f t="shared" si="6"/>
        <v>0</v>
      </c>
      <c r="E24" s="950">
        <v>0</v>
      </c>
      <c r="F24" s="950">
        <v>0</v>
      </c>
      <c r="G24" s="950">
        <v>0</v>
      </c>
      <c r="H24" s="950">
        <v>0</v>
      </c>
      <c r="I24" s="950">
        <v>0</v>
      </c>
      <c r="J24" s="950">
        <v>0</v>
      </c>
      <c r="K24" s="968">
        <f>1812316+0</f>
        <v>1812316</v>
      </c>
      <c r="L24" s="968">
        <v>0</v>
      </c>
      <c r="M24" s="406">
        <f>'03'!C24+'04'!C23</f>
        <v>1812316</v>
      </c>
      <c r="N24" s="406">
        <f t="shared" si="1"/>
        <v>0</v>
      </c>
      <c r="O24" s="406">
        <f>'07'!P11</f>
        <v>1812316</v>
      </c>
      <c r="P24" s="406">
        <f t="shared" si="2"/>
        <v>0</v>
      </c>
      <c r="Q24" s="390"/>
      <c r="R24" s="390"/>
    </row>
    <row r="25" spans="1:18" s="477" customFormat="1" ht="17.25" customHeight="1">
      <c r="A25" s="428" t="s">
        <v>186</v>
      </c>
      <c r="B25" s="871" t="s">
        <v>150</v>
      </c>
      <c r="C25" s="943">
        <f t="shared" si="5"/>
        <v>143439501</v>
      </c>
      <c r="D25" s="949">
        <f t="shared" si="6"/>
        <v>1635183</v>
      </c>
      <c r="E25" s="946">
        <f>66724+3033+106612+383379+786869+288566+0</f>
        <v>1635183</v>
      </c>
      <c r="F25" s="946">
        <v>0</v>
      </c>
      <c r="G25" s="946">
        <v>0</v>
      </c>
      <c r="H25" s="946">
        <v>0</v>
      </c>
      <c r="I25" s="946">
        <v>0</v>
      </c>
      <c r="J25" s="946">
        <v>0</v>
      </c>
      <c r="K25" s="969">
        <f>2749533+21574194+8601289+2321689+41097+2544592+0+8019435</f>
        <v>45851829</v>
      </c>
      <c r="L25" s="969">
        <f>138042+36430+10377+21861305+59021770+0+14884565</f>
        <v>95952489</v>
      </c>
      <c r="M25" s="406">
        <f>'03'!C25+'04'!C24</f>
        <v>143439501</v>
      </c>
      <c r="N25" s="406">
        <f t="shared" si="1"/>
        <v>0</v>
      </c>
      <c r="O25" s="406">
        <f>'07'!Q11</f>
        <v>143439501</v>
      </c>
      <c r="P25" s="406">
        <f t="shared" si="2"/>
        <v>0</v>
      </c>
      <c r="Q25" s="390"/>
      <c r="R25" s="390"/>
    </row>
    <row r="26" spans="1:18" s="477" customFormat="1" ht="18" customHeight="1">
      <c r="A26" s="869" t="s">
        <v>53</v>
      </c>
      <c r="B26" s="874" t="s">
        <v>151</v>
      </c>
      <c r="C26" s="943">
        <f t="shared" si="5"/>
        <v>244777364</v>
      </c>
      <c r="D26" s="949">
        <f t="shared" si="6"/>
        <v>10403495</v>
      </c>
      <c r="E26" s="943">
        <f>915686+1511506+783356+952705+288942+249798+161892+620999+141852+467053+55067-178284</f>
        <v>5970572</v>
      </c>
      <c r="F26" s="943">
        <v>69752</v>
      </c>
      <c r="G26" s="943">
        <f>11500+1098195+1000+87365+97670+87934+68740+373917+68000</f>
        <v>1894321</v>
      </c>
      <c r="H26" s="943">
        <f>98452+158785+61090+67096+9300+110389+102156+666858+707006+0</f>
        <v>1981132</v>
      </c>
      <c r="I26" s="943">
        <f>269415+144611+0+10000</f>
        <v>424026</v>
      </c>
      <c r="J26" s="943">
        <f>7900+55792+0</f>
        <v>63692</v>
      </c>
      <c r="K26" s="967">
        <f>18844233+18137903+239018+9633379+9219871+20459439+4441873+67293882-4694</f>
        <v>148264904</v>
      </c>
      <c r="L26" s="967">
        <f>2841219+3305613+23784331+14233696+885609+1314047+4699677+17114849+13270023+4152821+507080</f>
        <v>86108965</v>
      </c>
      <c r="M26" s="404">
        <f>'03'!C26+'04'!C25</f>
        <v>244777364</v>
      </c>
      <c r="N26" s="404">
        <f t="shared" si="1"/>
        <v>0</v>
      </c>
      <c r="O26" s="404">
        <f>'07'!R11</f>
        <v>244777364</v>
      </c>
      <c r="P26" s="404">
        <f t="shared" si="2"/>
        <v>0</v>
      </c>
      <c r="Q26" s="390"/>
      <c r="R26" s="390"/>
    </row>
    <row r="27" spans="1:18" s="477" customFormat="1" ht="20.25" customHeight="1">
      <c r="A27" s="453" t="s">
        <v>553</v>
      </c>
      <c r="B27" s="478" t="s">
        <v>215</v>
      </c>
      <c r="C27" s="857">
        <f>(C18+C19+C20)/C17</f>
        <v>0.27516411753833236</v>
      </c>
      <c r="D27" s="857">
        <f aca="true" t="shared" si="7" ref="D27:L27">(D18+D19+D20)/D17</f>
        <v>0.40946942430437977</v>
      </c>
      <c r="E27" s="942">
        <f t="shared" si="7"/>
        <v>0.39658346541921996</v>
      </c>
      <c r="F27" s="942">
        <f t="shared" si="7"/>
        <v>0.6798107441624486</v>
      </c>
      <c r="G27" s="942">
        <f t="shared" si="7"/>
        <v>0.23472406093068002</v>
      </c>
      <c r="H27" s="942">
        <f t="shared" si="7"/>
        <v>0.450408462436756</v>
      </c>
      <c r="I27" s="942">
        <f t="shared" si="7"/>
        <v>0.15290708116926854</v>
      </c>
      <c r="J27" s="942">
        <f t="shared" si="7"/>
        <v>0.9222044452795893</v>
      </c>
      <c r="K27" s="942">
        <f t="shared" si="7"/>
        <v>0.20825777188319256</v>
      </c>
      <c r="L27" s="942">
        <f t="shared" si="7"/>
        <v>0.3209840161254776</v>
      </c>
      <c r="M27" s="422"/>
      <c r="N27" s="479"/>
      <c r="O27" s="479"/>
      <c r="P27" s="479"/>
      <c r="Q27" s="390"/>
      <c r="R27" s="390"/>
    </row>
    <row r="28" spans="1:18" s="477" customFormat="1" ht="30" customHeight="1" hidden="1">
      <c r="A28" s="1537" t="s">
        <v>498</v>
      </c>
      <c r="B28" s="1537"/>
      <c r="C28" s="406">
        <f>C11-C14-C15-C16</f>
        <v>-143638192</v>
      </c>
      <c r="D28" s="406">
        <f aca="true" t="shared" si="8" ref="D28:L28">D11-D14-D15-D16</f>
        <v>-299131</v>
      </c>
      <c r="E28" s="406">
        <f t="shared" si="8"/>
        <v>-299131</v>
      </c>
      <c r="F28" s="406">
        <f t="shared" si="8"/>
        <v>0</v>
      </c>
      <c r="G28" s="406">
        <f t="shared" si="8"/>
        <v>0</v>
      </c>
      <c r="H28" s="406">
        <f t="shared" si="8"/>
        <v>0</v>
      </c>
      <c r="I28" s="406">
        <f t="shared" si="8"/>
        <v>0</v>
      </c>
      <c r="J28" s="406">
        <f t="shared" si="8"/>
        <v>0</v>
      </c>
      <c r="K28" s="406">
        <f t="shared" si="8"/>
        <v>-106383145</v>
      </c>
      <c r="L28" s="406">
        <f t="shared" si="8"/>
        <v>-36955916</v>
      </c>
      <c r="M28" s="422"/>
      <c r="N28" s="479"/>
      <c r="O28" s="479"/>
      <c r="P28" s="479"/>
      <c r="Q28" s="390"/>
      <c r="R28" s="390"/>
    </row>
    <row r="29" spans="1:18" s="477" customFormat="1" ht="30" customHeight="1" hidden="1">
      <c r="A29" s="1538" t="s">
        <v>499</v>
      </c>
      <c r="B29" s="1538"/>
      <c r="C29" s="406">
        <f>C16-C17-C26</f>
        <v>0</v>
      </c>
      <c r="D29" s="406">
        <f aca="true" t="shared" si="9" ref="D29:L29">D16-D17-D26</f>
        <v>0</v>
      </c>
      <c r="E29" s="406">
        <f t="shared" si="9"/>
        <v>0</v>
      </c>
      <c r="F29" s="406">
        <f t="shared" si="9"/>
        <v>0</v>
      </c>
      <c r="G29" s="406">
        <f t="shared" si="9"/>
        <v>0</v>
      </c>
      <c r="H29" s="406">
        <f t="shared" si="9"/>
        <v>0</v>
      </c>
      <c r="I29" s="406">
        <f t="shared" si="9"/>
        <v>0</v>
      </c>
      <c r="J29" s="406">
        <f t="shared" si="9"/>
        <v>0</v>
      </c>
      <c r="K29" s="406">
        <f t="shared" si="9"/>
        <v>0</v>
      </c>
      <c r="L29" s="406">
        <f t="shared" si="9"/>
        <v>0</v>
      </c>
      <c r="M29" s="422"/>
      <c r="N29" s="479"/>
      <c r="O29" s="479"/>
      <c r="P29" s="479"/>
      <c r="Q29" s="390"/>
      <c r="R29" s="390"/>
    </row>
    <row r="30" spans="1:18" s="457" customFormat="1" ht="14.25" customHeight="1">
      <c r="A30" s="951"/>
      <c r="B30" s="952"/>
      <c r="C30" s="952"/>
      <c r="D30" s="953"/>
      <c r="E30" s="953"/>
      <c r="F30" s="953"/>
      <c r="G30" s="954"/>
      <c r="H30" s="954"/>
      <c r="I30" s="1539" t="str">
        <f>'Thong tin'!B9</f>
        <v>Bình Thuận, ngày 04 tháng 8 năm 2016</v>
      </c>
      <c r="J30" s="1539"/>
      <c r="K30" s="1539"/>
      <c r="L30" s="1539"/>
      <c r="M30" s="467"/>
      <c r="N30" s="467"/>
      <c r="O30" s="467"/>
      <c r="P30" s="467"/>
      <c r="Q30" s="467"/>
      <c r="R30" s="467"/>
    </row>
    <row r="31" spans="1:18" s="457" customFormat="1" ht="15.75" customHeight="1">
      <c r="A31" s="1526" t="s">
        <v>4</v>
      </c>
      <c r="B31" s="1526"/>
      <c r="C31" s="1526"/>
      <c r="D31" s="1526"/>
      <c r="E31" s="955"/>
      <c r="F31" s="955"/>
      <c r="G31" s="956"/>
      <c r="H31" s="1562" t="str">
        <f>'Thong tin'!B7</f>
        <v>KT. CỤC TRƯỞNG</v>
      </c>
      <c r="I31" s="1562"/>
      <c r="J31" s="1562"/>
      <c r="K31" s="1562"/>
      <c r="L31" s="1562"/>
      <c r="M31" s="467"/>
      <c r="N31" s="467"/>
      <c r="O31" s="467"/>
      <c r="P31" s="467"/>
      <c r="Q31" s="467"/>
      <c r="R31" s="467"/>
    </row>
    <row r="32" spans="1:18" s="457" customFormat="1" ht="15" customHeight="1">
      <c r="A32" s="938"/>
      <c r="B32" s="1530"/>
      <c r="C32" s="1530"/>
      <c r="D32" s="958"/>
      <c r="E32" s="958"/>
      <c r="F32" s="955"/>
      <c r="H32" s="1526" t="str">
        <f>'Thong tin'!B8</f>
        <v>PHÓ CỤC TRƯỞNG</v>
      </c>
      <c r="I32" s="1526"/>
      <c r="J32" s="1526"/>
      <c r="K32" s="1526"/>
      <c r="L32" s="1526"/>
      <c r="M32" s="482"/>
      <c r="N32" s="482"/>
      <c r="O32" s="482"/>
      <c r="P32" s="482"/>
      <c r="Q32" s="467"/>
      <c r="R32" s="467"/>
    </row>
    <row r="33" spans="1:18" s="457" customFormat="1" ht="16.5">
      <c r="A33" s="938"/>
      <c r="B33" s="959"/>
      <c r="C33" s="962">
        <f>C26+C17+C14-C11</f>
        <v>0</v>
      </c>
      <c r="D33" s="962">
        <f aca="true" t="shared" si="10" ref="D33:L33">D26+D17+D14-D11</f>
        <v>0</v>
      </c>
      <c r="E33" s="962">
        <f t="shared" si="10"/>
        <v>0</v>
      </c>
      <c r="F33" s="962">
        <f t="shared" si="10"/>
        <v>0</v>
      </c>
      <c r="G33" s="962">
        <f t="shared" si="10"/>
        <v>0</v>
      </c>
      <c r="H33" s="962">
        <f t="shared" si="10"/>
        <v>0</v>
      </c>
      <c r="I33" s="960">
        <f t="shared" si="10"/>
        <v>0</v>
      </c>
      <c r="J33" s="960">
        <f t="shared" si="10"/>
        <v>0</v>
      </c>
      <c r="K33" s="962">
        <f t="shared" si="10"/>
        <v>0</v>
      </c>
      <c r="L33" s="960">
        <f t="shared" si="10"/>
        <v>0</v>
      </c>
      <c r="M33" s="467"/>
      <c r="N33" s="467"/>
      <c r="O33" s="467"/>
      <c r="P33" s="467"/>
      <c r="Q33" s="467"/>
      <c r="R33" s="467"/>
    </row>
    <row r="34" spans="1:18" s="435" customFormat="1" ht="16.5">
      <c r="A34" s="961"/>
      <c r="B34" s="961"/>
      <c r="C34" s="961"/>
      <c r="D34" s="961"/>
      <c r="E34" s="961"/>
      <c r="F34" s="961"/>
      <c r="G34" s="961"/>
      <c r="H34" s="961"/>
      <c r="I34" s="961"/>
      <c r="J34" s="961"/>
      <c r="K34" s="961"/>
      <c r="L34" s="961"/>
      <c r="M34" s="434"/>
      <c r="N34" s="434"/>
      <c r="O34" s="434"/>
      <c r="P34" s="434"/>
      <c r="Q34" s="434"/>
      <c r="R34" s="434"/>
    </row>
    <row r="35" spans="1:18" s="435" customFormat="1" ht="10.5" customHeight="1">
      <c r="A35" s="961"/>
      <c r="B35" s="961"/>
      <c r="C35" s="961"/>
      <c r="D35" s="961"/>
      <c r="E35" s="961"/>
      <c r="F35" s="961"/>
      <c r="G35" s="961"/>
      <c r="H35" s="961"/>
      <c r="I35" s="961"/>
      <c r="J35" s="961"/>
      <c r="K35" s="961"/>
      <c r="L35" s="961"/>
      <c r="M35" s="434"/>
      <c r="N35" s="434"/>
      <c r="O35" s="434"/>
      <c r="P35" s="434"/>
      <c r="Q35" s="434"/>
      <c r="R35" s="434"/>
    </row>
    <row r="36" spans="1:12" ht="11.25" customHeight="1">
      <c r="A36" s="961"/>
      <c r="B36" s="961"/>
      <c r="C36" s="961"/>
      <c r="D36" s="961"/>
      <c r="E36" s="961"/>
      <c r="F36" s="961"/>
      <c r="G36" s="961"/>
      <c r="H36" s="961"/>
      <c r="I36" s="961"/>
      <c r="J36" s="961"/>
      <c r="K36" s="961"/>
      <c r="L36" s="961"/>
    </row>
    <row r="37" spans="1:12" ht="11.25" customHeight="1">
      <c r="A37" s="961"/>
      <c r="B37" s="961"/>
      <c r="C37" s="961"/>
      <c r="D37" s="961"/>
      <c r="E37" s="961"/>
      <c r="F37" s="961"/>
      <c r="G37" s="961"/>
      <c r="H37" s="961"/>
      <c r="I37" s="961"/>
      <c r="J37" s="961"/>
      <c r="K37" s="961"/>
      <c r="L37" s="961"/>
    </row>
    <row r="38" spans="1:12" ht="16.5">
      <c r="A38" s="1526" t="str">
        <f>'Thong tin'!B5</f>
        <v>Trần Quốc Bảo</v>
      </c>
      <c r="B38" s="1526"/>
      <c r="C38" s="1526"/>
      <c r="D38" s="1526"/>
      <c r="E38" s="961"/>
      <c r="F38" s="961"/>
      <c r="G38" s="961"/>
      <c r="H38" s="1526" t="str">
        <f>'Thong tin'!B6</f>
        <v>Trần Nam</v>
      </c>
      <c r="I38" s="1526"/>
      <c r="J38" s="1526"/>
      <c r="K38" s="1526"/>
      <c r="L38" s="1526"/>
    </row>
    <row r="46" spans="1:13" ht="16.5" hidden="1">
      <c r="A46" s="1549" t="s">
        <v>33</v>
      </c>
      <c r="B46" s="1550"/>
      <c r="C46" s="463"/>
      <c r="D46" s="1526" t="s">
        <v>79</v>
      </c>
      <c r="E46" s="1526"/>
      <c r="F46" s="1526"/>
      <c r="G46" s="1526"/>
      <c r="H46" s="1526"/>
      <c r="I46" s="1526"/>
      <c r="J46" s="1526"/>
      <c r="K46" s="1551"/>
      <c r="L46" s="1551"/>
      <c r="M46" s="467"/>
    </row>
    <row r="47" spans="1:13" ht="16.5" hidden="1">
      <c r="A47" s="1517" t="s">
        <v>342</v>
      </c>
      <c r="B47" s="1517"/>
      <c r="C47" s="1517"/>
      <c r="D47" s="1526" t="s">
        <v>216</v>
      </c>
      <c r="E47" s="1526"/>
      <c r="F47" s="1526"/>
      <c r="G47" s="1526"/>
      <c r="H47" s="1526"/>
      <c r="I47" s="1526"/>
      <c r="J47" s="1526"/>
      <c r="K47" s="1563" t="s">
        <v>505</v>
      </c>
      <c r="L47" s="1563"/>
      <c r="M47" s="464"/>
    </row>
    <row r="48" spans="1:13" ht="16.5" hidden="1">
      <c r="A48" s="1517" t="s">
        <v>343</v>
      </c>
      <c r="B48" s="1517"/>
      <c r="C48" s="413"/>
      <c r="D48" s="1530" t="s">
        <v>11</v>
      </c>
      <c r="E48" s="1530"/>
      <c r="F48" s="1530"/>
      <c r="G48" s="1530"/>
      <c r="H48" s="1530"/>
      <c r="I48" s="1530"/>
      <c r="J48" s="1530"/>
      <c r="K48" s="1551"/>
      <c r="L48" s="1551"/>
      <c r="M48" s="467"/>
    </row>
    <row r="49" spans="1:13" ht="15.75" hidden="1">
      <c r="A49" s="433" t="s">
        <v>119</v>
      </c>
      <c r="B49" s="433"/>
      <c r="C49" s="418"/>
      <c r="D49" s="468"/>
      <c r="E49" s="468"/>
      <c r="F49" s="469"/>
      <c r="G49" s="469"/>
      <c r="H49" s="469"/>
      <c r="I49" s="469"/>
      <c r="J49" s="469"/>
      <c r="K49" s="1567"/>
      <c r="L49" s="1567"/>
      <c r="M49" s="464"/>
    </row>
    <row r="50" spans="1:13" ht="15.75" hidden="1">
      <c r="A50" s="468"/>
      <c r="B50" s="468" t="s">
        <v>94</v>
      </c>
      <c r="C50" s="468"/>
      <c r="D50" s="468"/>
      <c r="E50" s="468"/>
      <c r="F50" s="468"/>
      <c r="G50" s="468"/>
      <c r="H50" s="468"/>
      <c r="I50" s="468"/>
      <c r="J50" s="468"/>
      <c r="K50" s="1552"/>
      <c r="L50" s="1552"/>
      <c r="M50" s="464"/>
    </row>
    <row r="51" spans="1:13" ht="15.75" hidden="1">
      <c r="A51" s="1245" t="s">
        <v>71</v>
      </c>
      <c r="B51" s="1246"/>
      <c r="C51" s="1531" t="s">
        <v>38</v>
      </c>
      <c r="D51" s="1553" t="s">
        <v>339</v>
      </c>
      <c r="E51" s="1553"/>
      <c r="F51" s="1553"/>
      <c r="G51" s="1553"/>
      <c r="H51" s="1553"/>
      <c r="I51" s="1553"/>
      <c r="J51" s="1553"/>
      <c r="K51" s="1553"/>
      <c r="L51" s="1553"/>
      <c r="M51" s="467"/>
    </row>
    <row r="52" spans="1:13" ht="15.75" hidden="1">
      <c r="A52" s="1247"/>
      <c r="B52" s="1248"/>
      <c r="C52" s="1531"/>
      <c r="D52" s="1568" t="s">
        <v>207</v>
      </c>
      <c r="E52" s="1569"/>
      <c r="F52" s="1569"/>
      <c r="G52" s="1569"/>
      <c r="H52" s="1569"/>
      <c r="I52" s="1569"/>
      <c r="J52" s="1570"/>
      <c r="K52" s="1571" t="s">
        <v>208</v>
      </c>
      <c r="L52" s="1571" t="s">
        <v>209</v>
      </c>
      <c r="M52" s="464"/>
    </row>
    <row r="53" spans="1:13" ht="15.75" hidden="1">
      <c r="A53" s="1247"/>
      <c r="B53" s="1248"/>
      <c r="C53" s="1531"/>
      <c r="D53" s="1576" t="s">
        <v>37</v>
      </c>
      <c r="E53" s="1577" t="s">
        <v>7</v>
      </c>
      <c r="F53" s="1578"/>
      <c r="G53" s="1578"/>
      <c r="H53" s="1578"/>
      <c r="I53" s="1578"/>
      <c r="J53" s="1579"/>
      <c r="K53" s="1572"/>
      <c r="L53" s="1574"/>
      <c r="M53" s="464"/>
    </row>
    <row r="54" spans="1:16" ht="15.75" hidden="1">
      <c r="A54" s="1535"/>
      <c r="B54" s="1536"/>
      <c r="C54" s="1531"/>
      <c r="D54" s="1576"/>
      <c r="E54" s="470" t="s">
        <v>210</v>
      </c>
      <c r="F54" s="470" t="s">
        <v>211</v>
      </c>
      <c r="G54" s="470" t="s">
        <v>212</v>
      </c>
      <c r="H54" s="470" t="s">
        <v>213</v>
      </c>
      <c r="I54" s="470" t="s">
        <v>344</v>
      </c>
      <c r="J54" s="470" t="s">
        <v>214</v>
      </c>
      <c r="K54" s="1573"/>
      <c r="L54" s="1575"/>
      <c r="M54" s="1529" t="s">
        <v>500</v>
      </c>
      <c r="N54" s="1529"/>
      <c r="O54" s="1529"/>
      <c r="P54" s="1529"/>
    </row>
    <row r="55" spans="1:16" ht="15" hidden="1">
      <c r="A55" s="1533" t="s">
        <v>6</v>
      </c>
      <c r="B55" s="1534"/>
      <c r="C55" s="471">
        <v>1</v>
      </c>
      <c r="D55" s="472">
        <v>2</v>
      </c>
      <c r="E55" s="471">
        <v>3</v>
      </c>
      <c r="F55" s="472">
        <v>4</v>
      </c>
      <c r="G55" s="471">
        <v>5</v>
      </c>
      <c r="H55" s="472">
        <v>6</v>
      </c>
      <c r="I55" s="471">
        <v>7</v>
      </c>
      <c r="J55" s="472">
        <v>8</v>
      </c>
      <c r="K55" s="471">
        <v>9</v>
      </c>
      <c r="L55" s="472">
        <v>10</v>
      </c>
      <c r="M55" s="473" t="s">
        <v>501</v>
      </c>
      <c r="N55" s="474" t="s">
        <v>504</v>
      </c>
      <c r="O55" s="474" t="s">
        <v>502</v>
      </c>
      <c r="P55" s="474" t="s">
        <v>503</v>
      </c>
    </row>
    <row r="56" spans="1:16" ht="24.75" customHeight="1" hidden="1">
      <c r="A56" s="425" t="s">
        <v>0</v>
      </c>
      <c r="B56" s="426" t="s">
        <v>131</v>
      </c>
      <c r="C56" s="404">
        <f>C57+C58</f>
        <v>1227010</v>
      </c>
      <c r="D56" s="404">
        <f aca="true" t="shared" si="11" ref="D56:L56">D57+D58</f>
        <v>730216</v>
      </c>
      <c r="E56" s="404">
        <f t="shared" si="11"/>
        <v>318858</v>
      </c>
      <c r="F56" s="404">
        <f t="shared" si="11"/>
        <v>0</v>
      </c>
      <c r="G56" s="404">
        <f t="shared" si="11"/>
        <v>359311</v>
      </c>
      <c r="H56" s="404">
        <f t="shared" si="11"/>
        <v>25503</v>
      </c>
      <c r="I56" s="404">
        <f t="shared" si="11"/>
        <v>12500</v>
      </c>
      <c r="J56" s="404">
        <f t="shared" si="11"/>
        <v>14044</v>
      </c>
      <c r="K56" s="404">
        <f t="shared" si="11"/>
        <v>496794</v>
      </c>
      <c r="L56" s="404">
        <f t="shared" si="11"/>
        <v>0</v>
      </c>
      <c r="M56" s="404" t="e">
        <f>'03'!#REF!+'04'!#REF!</f>
        <v>#REF!</v>
      </c>
      <c r="N56" s="404" t="e">
        <f>C56-M56</f>
        <v>#REF!</v>
      </c>
      <c r="O56" s="404">
        <f>'07'!C12</f>
        <v>241872412</v>
      </c>
      <c r="P56" s="404">
        <f>C56-O56</f>
        <v>-240645402</v>
      </c>
    </row>
    <row r="57" spans="1:16" ht="24.75" customHeight="1" hidden="1">
      <c r="A57" s="428">
        <v>1</v>
      </c>
      <c r="B57" s="429" t="s">
        <v>132</v>
      </c>
      <c r="C57" s="404">
        <f>D57+K57+L57</f>
        <v>1145484</v>
      </c>
      <c r="D57" s="404">
        <f>E57+F57+G57+H57+I57+J57</f>
        <v>648690</v>
      </c>
      <c r="E57" s="406">
        <v>289379</v>
      </c>
      <c r="F57" s="406"/>
      <c r="G57" s="406">
        <v>359311</v>
      </c>
      <c r="H57" s="406"/>
      <c r="I57" s="406"/>
      <c r="J57" s="406"/>
      <c r="K57" s="406">
        <v>496794</v>
      </c>
      <c r="L57" s="406"/>
      <c r="M57" s="406" t="e">
        <f>'03'!#REF!+'04'!#REF!</f>
        <v>#REF!</v>
      </c>
      <c r="N57" s="406" t="e">
        <f aca="true" t="shared" si="12" ref="N57:N71">C57-M57</f>
        <v>#REF!</v>
      </c>
      <c r="O57" s="406">
        <f>'07'!D12</f>
        <v>88752762</v>
      </c>
      <c r="P57" s="406">
        <f aca="true" t="shared" si="13" ref="P57:P71">C57-O57</f>
        <v>-87607278</v>
      </c>
    </row>
    <row r="58" spans="1:16" ht="24.75" customHeight="1" hidden="1">
      <c r="A58" s="428">
        <v>2</v>
      </c>
      <c r="B58" s="429" t="s">
        <v>133</v>
      </c>
      <c r="C58" s="404">
        <f>D58+K58+L58</f>
        <v>81526</v>
      </c>
      <c r="D58" s="404">
        <f>E58+F58+G58+H58+I58+J58</f>
        <v>81526</v>
      </c>
      <c r="E58" s="406">
        <v>29479</v>
      </c>
      <c r="F58" s="406">
        <v>0</v>
      </c>
      <c r="G58" s="406">
        <v>0</v>
      </c>
      <c r="H58" s="406">
        <v>25503</v>
      </c>
      <c r="I58" s="406">
        <v>12500</v>
      </c>
      <c r="J58" s="406">
        <v>14044</v>
      </c>
      <c r="K58" s="406">
        <v>0</v>
      </c>
      <c r="L58" s="406">
        <v>0</v>
      </c>
      <c r="M58" s="406" t="e">
        <f>'03'!#REF!+'04'!#REF!</f>
        <v>#REF!</v>
      </c>
      <c r="N58" s="406" t="e">
        <f t="shared" si="12"/>
        <v>#REF!</v>
      </c>
      <c r="O58" s="406">
        <f>'07'!E12</f>
        <v>153119650</v>
      </c>
      <c r="P58" s="406">
        <f t="shared" si="13"/>
        <v>-153038124</v>
      </c>
    </row>
    <row r="59" spans="1:16" ht="24.75" customHeight="1" hidden="1">
      <c r="A59" s="394" t="s">
        <v>1</v>
      </c>
      <c r="B59" s="395" t="s">
        <v>134</v>
      </c>
      <c r="C59" s="404">
        <f>D59+K59+L59</f>
        <v>30849</v>
      </c>
      <c r="D59" s="404">
        <f>E59+F59+G59+H59+I59+J59</f>
        <v>30849</v>
      </c>
      <c r="E59" s="406">
        <v>18349</v>
      </c>
      <c r="F59" s="406">
        <v>0</v>
      </c>
      <c r="G59" s="406">
        <v>0</v>
      </c>
      <c r="H59" s="406">
        <v>0</v>
      </c>
      <c r="I59" s="406">
        <v>12500</v>
      </c>
      <c r="J59" s="406">
        <v>0</v>
      </c>
      <c r="K59" s="406">
        <v>0</v>
      </c>
      <c r="L59" s="406">
        <v>0</v>
      </c>
      <c r="M59" s="406" t="e">
        <f>'03'!#REF!+'04'!#REF!</f>
        <v>#REF!</v>
      </c>
      <c r="N59" s="406" t="e">
        <f t="shared" si="12"/>
        <v>#REF!</v>
      </c>
      <c r="O59" s="406">
        <f>'07'!F12</f>
        <v>488054</v>
      </c>
      <c r="P59" s="406">
        <f t="shared" si="13"/>
        <v>-457205</v>
      </c>
    </row>
    <row r="60" spans="1:16" ht="24.75" customHeight="1" hidden="1">
      <c r="A60" s="394" t="s">
        <v>9</v>
      </c>
      <c r="B60" s="395" t="s">
        <v>135</v>
      </c>
      <c r="C60" s="404">
        <f>D60+K60+L60</f>
        <v>0</v>
      </c>
      <c r="D60" s="404">
        <f>E60+F60+G60+H60+I60+J60</f>
        <v>0</v>
      </c>
      <c r="E60" s="406">
        <v>0</v>
      </c>
      <c r="F60" s="406">
        <v>0</v>
      </c>
      <c r="G60" s="406">
        <v>0</v>
      </c>
      <c r="H60" s="406">
        <v>0</v>
      </c>
      <c r="I60" s="406">
        <v>0</v>
      </c>
      <c r="J60" s="406">
        <v>0</v>
      </c>
      <c r="K60" s="406">
        <v>0</v>
      </c>
      <c r="L60" s="406">
        <v>0</v>
      </c>
      <c r="M60" s="406" t="e">
        <f>'03'!#REF!+'04'!#REF!</f>
        <v>#REF!</v>
      </c>
      <c r="N60" s="406" t="e">
        <f t="shared" si="12"/>
        <v>#REF!</v>
      </c>
      <c r="O60" s="406">
        <f>'07'!G12</f>
        <v>0</v>
      </c>
      <c r="P60" s="406">
        <f t="shared" si="13"/>
        <v>0</v>
      </c>
    </row>
    <row r="61" spans="1:16" ht="24.75" customHeight="1" hidden="1">
      <c r="A61" s="394" t="s">
        <v>136</v>
      </c>
      <c r="B61" s="395" t="s">
        <v>137</v>
      </c>
      <c r="C61" s="404">
        <f>C62+C71</f>
        <v>1196161</v>
      </c>
      <c r="D61" s="404">
        <f aca="true" t="shared" si="14" ref="D61:L61">D62+D71</f>
        <v>699367</v>
      </c>
      <c r="E61" s="404">
        <f t="shared" si="14"/>
        <v>300509</v>
      </c>
      <c r="F61" s="404">
        <f t="shared" si="14"/>
        <v>0</v>
      </c>
      <c r="G61" s="404">
        <f t="shared" si="14"/>
        <v>359311</v>
      </c>
      <c r="H61" s="404">
        <f t="shared" si="14"/>
        <v>25503</v>
      </c>
      <c r="I61" s="404">
        <f t="shared" si="14"/>
        <v>0</v>
      </c>
      <c r="J61" s="404">
        <f t="shared" si="14"/>
        <v>14044</v>
      </c>
      <c r="K61" s="404">
        <f t="shared" si="14"/>
        <v>496794</v>
      </c>
      <c r="L61" s="404">
        <f t="shared" si="14"/>
        <v>0</v>
      </c>
      <c r="M61" s="404" t="e">
        <f>'03'!#REF!+'04'!#REF!</f>
        <v>#REF!</v>
      </c>
      <c r="N61" s="404" t="e">
        <f t="shared" si="12"/>
        <v>#REF!</v>
      </c>
      <c r="O61" s="404">
        <f>'07'!H12</f>
        <v>241384358</v>
      </c>
      <c r="P61" s="404">
        <f t="shared" si="13"/>
        <v>-240188197</v>
      </c>
    </row>
    <row r="62" spans="1:16" ht="24.75" customHeight="1" hidden="1">
      <c r="A62" s="394" t="s">
        <v>52</v>
      </c>
      <c r="B62" s="430" t="s">
        <v>138</v>
      </c>
      <c r="C62" s="404">
        <f>SUM(C63:C70)</f>
        <v>547471</v>
      </c>
      <c r="D62" s="404">
        <f aca="true" t="shared" si="15" ref="D62:L62">SUM(D63:D70)</f>
        <v>50677</v>
      </c>
      <c r="E62" s="404">
        <f t="shared" si="15"/>
        <v>11130</v>
      </c>
      <c r="F62" s="404">
        <f t="shared" si="15"/>
        <v>0</v>
      </c>
      <c r="G62" s="404">
        <f t="shared" si="15"/>
        <v>0</v>
      </c>
      <c r="H62" s="404">
        <f t="shared" si="15"/>
        <v>25503</v>
      </c>
      <c r="I62" s="404">
        <f t="shared" si="15"/>
        <v>0</v>
      </c>
      <c r="J62" s="404">
        <f t="shared" si="15"/>
        <v>14044</v>
      </c>
      <c r="K62" s="404">
        <f t="shared" si="15"/>
        <v>496794</v>
      </c>
      <c r="L62" s="404">
        <f t="shared" si="15"/>
        <v>0</v>
      </c>
      <c r="M62" s="404" t="e">
        <f>'03'!#REF!+'04'!#REF!</f>
        <v>#REF!</v>
      </c>
      <c r="N62" s="404" t="e">
        <f t="shared" si="12"/>
        <v>#REF!</v>
      </c>
      <c r="O62" s="404">
        <f>'07'!I12</f>
        <v>169996156</v>
      </c>
      <c r="P62" s="404">
        <f t="shared" si="13"/>
        <v>-169448685</v>
      </c>
    </row>
    <row r="63" spans="1:16" ht="24.75" customHeight="1" hidden="1">
      <c r="A63" s="428" t="s">
        <v>54</v>
      </c>
      <c r="B63" s="429" t="s">
        <v>139</v>
      </c>
      <c r="C63" s="404">
        <f aca="true" t="shared" si="16" ref="C63:C71">D63+K63+L63</f>
        <v>41344</v>
      </c>
      <c r="D63" s="404">
        <f aca="true" t="shared" si="17" ref="D63:D71">E63+F63+G63+H63+I63+J63</f>
        <v>40344</v>
      </c>
      <c r="E63" s="406">
        <v>800</v>
      </c>
      <c r="F63" s="406">
        <v>0</v>
      </c>
      <c r="G63" s="406">
        <v>0</v>
      </c>
      <c r="H63" s="406">
        <v>25503</v>
      </c>
      <c r="I63" s="406">
        <v>0</v>
      </c>
      <c r="J63" s="406">
        <v>14041</v>
      </c>
      <c r="K63" s="406">
        <v>1000</v>
      </c>
      <c r="L63" s="406">
        <v>0</v>
      </c>
      <c r="M63" s="406" t="e">
        <f>'03'!#REF!+'04'!#REF!</f>
        <v>#REF!</v>
      </c>
      <c r="N63" s="406" t="e">
        <f t="shared" si="12"/>
        <v>#REF!</v>
      </c>
      <c r="O63" s="406">
        <f>'07'!J12</f>
        <v>10246520</v>
      </c>
      <c r="P63" s="406">
        <f t="shared" si="13"/>
        <v>-10205176</v>
      </c>
    </row>
    <row r="64" spans="1:16" ht="24.75" customHeight="1" hidden="1">
      <c r="A64" s="428" t="s">
        <v>55</v>
      </c>
      <c r="B64" s="429" t="s">
        <v>140</v>
      </c>
      <c r="C64" s="404">
        <f t="shared" si="16"/>
        <v>0</v>
      </c>
      <c r="D64" s="404">
        <f t="shared" si="17"/>
        <v>0</v>
      </c>
      <c r="E64" s="406">
        <v>0</v>
      </c>
      <c r="F64" s="406">
        <v>0</v>
      </c>
      <c r="G64" s="406">
        <v>0</v>
      </c>
      <c r="H64" s="406">
        <v>0</v>
      </c>
      <c r="I64" s="406">
        <v>0</v>
      </c>
      <c r="J64" s="406">
        <v>0</v>
      </c>
      <c r="K64" s="406">
        <v>0</v>
      </c>
      <c r="L64" s="406">
        <v>0</v>
      </c>
      <c r="M64" s="406" t="e">
        <f>'03'!#REF!+'04'!#REF!</f>
        <v>#REF!</v>
      </c>
      <c r="N64" s="406" t="e">
        <f t="shared" si="12"/>
        <v>#REF!</v>
      </c>
      <c r="O64" s="406">
        <f>'07'!K12</f>
        <v>3710114</v>
      </c>
      <c r="P64" s="406">
        <f t="shared" si="13"/>
        <v>-3710114</v>
      </c>
    </row>
    <row r="65" spans="1:16" ht="24.75" customHeight="1" hidden="1">
      <c r="A65" s="428" t="s">
        <v>141</v>
      </c>
      <c r="B65" s="429" t="s">
        <v>202</v>
      </c>
      <c r="C65" s="404">
        <f t="shared" si="16"/>
        <v>0</v>
      </c>
      <c r="D65" s="404">
        <f t="shared" si="17"/>
        <v>0</v>
      </c>
      <c r="E65" s="406">
        <v>0</v>
      </c>
      <c r="F65" s="406">
        <v>0</v>
      </c>
      <c r="G65" s="406">
        <v>0</v>
      </c>
      <c r="H65" s="406">
        <v>0</v>
      </c>
      <c r="I65" s="406">
        <v>0</v>
      </c>
      <c r="J65" s="406">
        <v>0</v>
      </c>
      <c r="K65" s="406">
        <v>0</v>
      </c>
      <c r="L65" s="406">
        <v>0</v>
      </c>
      <c r="M65" s="406" t="e">
        <f>'03'!#REF!</f>
        <v>#REF!</v>
      </c>
      <c r="N65" s="406" t="e">
        <f t="shared" si="12"/>
        <v>#REF!</v>
      </c>
      <c r="O65" s="406">
        <f>'07'!L12</f>
        <v>0</v>
      </c>
      <c r="P65" s="406">
        <f t="shared" si="13"/>
        <v>0</v>
      </c>
    </row>
    <row r="66" spans="1:16" ht="24.75" customHeight="1" hidden="1">
      <c r="A66" s="428" t="s">
        <v>143</v>
      </c>
      <c r="B66" s="429" t="s">
        <v>142</v>
      </c>
      <c r="C66" s="404">
        <f t="shared" si="16"/>
        <v>33438</v>
      </c>
      <c r="D66" s="404">
        <f t="shared" si="17"/>
        <v>10333</v>
      </c>
      <c r="E66" s="406">
        <v>10330</v>
      </c>
      <c r="F66" s="406">
        <v>0</v>
      </c>
      <c r="G66" s="406">
        <v>0</v>
      </c>
      <c r="H66" s="406">
        <v>0</v>
      </c>
      <c r="I66" s="406">
        <v>0</v>
      </c>
      <c r="J66" s="406">
        <v>3</v>
      </c>
      <c r="K66" s="406">
        <v>23105</v>
      </c>
      <c r="L66" s="406">
        <v>0</v>
      </c>
      <c r="M66" s="406" t="e">
        <f>'03'!#REF!+'04'!#REF!</f>
        <v>#REF!</v>
      </c>
      <c r="N66" s="406" t="e">
        <f t="shared" si="12"/>
        <v>#REF!</v>
      </c>
      <c r="O66" s="406">
        <f>'07'!M12</f>
        <v>135647584</v>
      </c>
      <c r="P66" s="406">
        <f t="shared" si="13"/>
        <v>-135614146</v>
      </c>
    </row>
    <row r="67" spans="1:16" ht="24.75" customHeight="1" hidden="1">
      <c r="A67" s="428" t="s">
        <v>145</v>
      </c>
      <c r="B67" s="429" t="s">
        <v>144</v>
      </c>
      <c r="C67" s="404">
        <f t="shared" si="16"/>
        <v>0</v>
      </c>
      <c r="D67" s="404">
        <f t="shared" si="17"/>
        <v>0</v>
      </c>
      <c r="E67" s="406">
        <v>0</v>
      </c>
      <c r="F67" s="406">
        <v>0</v>
      </c>
      <c r="G67" s="406">
        <v>0</v>
      </c>
      <c r="H67" s="406">
        <v>0</v>
      </c>
      <c r="I67" s="406">
        <v>0</v>
      </c>
      <c r="J67" s="406">
        <v>0</v>
      </c>
      <c r="K67" s="406">
        <v>0</v>
      </c>
      <c r="L67" s="406">
        <v>0</v>
      </c>
      <c r="M67" s="406" t="e">
        <f>'03'!#REF!+'04'!#REF!</f>
        <v>#REF!</v>
      </c>
      <c r="N67" s="406" t="e">
        <f t="shared" si="12"/>
        <v>#REF!</v>
      </c>
      <c r="O67" s="406">
        <f>'07'!N12</f>
        <v>16294237</v>
      </c>
      <c r="P67" s="406">
        <f t="shared" si="13"/>
        <v>-16294237</v>
      </c>
    </row>
    <row r="68" spans="1:16" ht="24.75" customHeight="1" hidden="1">
      <c r="A68" s="428" t="s">
        <v>147</v>
      </c>
      <c r="B68" s="429" t="s">
        <v>146</v>
      </c>
      <c r="C68" s="404">
        <f t="shared" si="16"/>
        <v>0</v>
      </c>
      <c r="D68" s="404">
        <f t="shared" si="17"/>
        <v>0</v>
      </c>
      <c r="E68" s="406">
        <v>0</v>
      </c>
      <c r="F68" s="406">
        <v>0</v>
      </c>
      <c r="G68" s="406">
        <v>0</v>
      </c>
      <c r="H68" s="406">
        <v>0</v>
      </c>
      <c r="I68" s="406">
        <v>0</v>
      </c>
      <c r="J68" s="406">
        <v>0</v>
      </c>
      <c r="K68" s="406">
        <v>0</v>
      </c>
      <c r="L68" s="406">
        <v>0</v>
      </c>
      <c r="M68" s="406" t="e">
        <f>'03'!#REF!+'04'!#REF!</f>
        <v>#REF!</v>
      </c>
      <c r="N68" s="406" t="e">
        <f t="shared" si="12"/>
        <v>#REF!</v>
      </c>
      <c r="O68" s="406">
        <f>'07'!O12</f>
        <v>1059602</v>
      </c>
      <c r="P68" s="406">
        <f t="shared" si="13"/>
        <v>-1059602</v>
      </c>
    </row>
    <row r="69" spans="1:16" ht="24.75" customHeight="1" hidden="1">
      <c r="A69" s="428" t="s">
        <v>149</v>
      </c>
      <c r="B69" s="431" t="s">
        <v>148</v>
      </c>
      <c r="C69" s="404">
        <f t="shared" si="16"/>
        <v>0</v>
      </c>
      <c r="D69" s="404">
        <f t="shared" si="17"/>
        <v>0</v>
      </c>
      <c r="E69" s="406">
        <v>0</v>
      </c>
      <c r="F69" s="406">
        <v>0</v>
      </c>
      <c r="G69" s="406">
        <v>0</v>
      </c>
      <c r="H69" s="406">
        <v>0</v>
      </c>
      <c r="I69" s="406">
        <v>0</v>
      </c>
      <c r="J69" s="406">
        <v>0</v>
      </c>
      <c r="K69" s="406">
        <v>0</v>
      </c>
      <c r="L69" s="406">
        <v>0</v>
      </c>
      <c r="M69" s="406" t="e">
        <f>'03'!#REF!+'04'!#REF!</f>
        <v>#REF!</v>
      </c>
      <c r="N69" s="406" t="e">
        <f t="shared" si="12"/>
        <v>#REF!</v>
      </c>
      <c r="O69" s="406">
        <f>'07'!P12</f>
        <v>0</v>
      </c>
      <c r="P69" s="406">
        <f t="shared" si="13"/>
        <v>0</v>
      </c>
    </row>
    <row r="70" spans="1:16" ht="24.75" customHeight="1" hidden="1">
      <c r="A70" s="428" t="s">
        <v>186</v>
      </c>
      <c r="B70" s="429" t="s">
        <v>150</v>
      </c>
      <c r="C70" s="404">
        <f t="shared" si="16"/>
        <v>472689</v>
      </c>
      <c r="D70" s="404">
        <f t="shared" si="17"/>
        <v>0</v>
      </c>
      <c r="E70" s="406">
        <v>0</v>
      </c>
      <c r="F70" s="406">
        <v>0</v>
      </c>
      <c r="G70" s="406">
        <v>0</v>
      </c>
      <c r="H70" s="406">
        <v>0</v>
      </c>
      <c r="I70" s="406">
        <v>0</v>
      </c>
      <c r="J70" s="406">
        <v>0</v>
      </c>
      <c r="K70" s="406">
        <v>472689</v>
      </c>
      <c r="L70" s="406">
        <v>0</v>
      </c>
      <c r="M70" s="406" t="e">
        <f>'03'!#REF!+'04'!#REF!</f>
        <v>#REF!</v>
      </c>
      <c r="N70" s="406" t="e">
        <f t="shared" si="12"/>
        <v>#REF!</v>
      </c>
      <c r="O70" s="406">
        <f>'07'!Q12</f>
        <v>3038099</v>
      </c>
      <c r="P70" s="406">
        <f t="shared" si="13"/>
        <v>-2565410</v>
      </c>
    </row>
    <row r="71" spans="1:16" ht="24.75" customHeight="1" hidden="1">
      <c r="A71" s="394" t="s">
        <v>53</v>
      </c>
      <c r="B71" s="395" t="s">
        <v>151</v>
      </c>
      <c r="C71" s="404">
        <f t="shared" si="16"/>
        <v>648690</v>
      </c>
      <c r="D71" s="404">
        <f t="shared" si="17"/>
        <v>648690</v>
      </c>
      <c r="E71" s="406">
        <v>289379</v>
      </c>
      <c r="F71" s="406">
        <v>0</v>
      </c>
      <c r="G71" s="406">
        <v>359311</v>
      </c>
      <c r="H71" s="406">
        <v>0</v>
      </c>
      <c r="I71" s="406">
        <v>0</v>
      </c>
      <c r="J71" s="406">
        <v>0</v>
      </c>
      <c r="K71" s="406">
        <v>0</v>
      </c>
      <c r="L71" s="406">
        <v>0</v>
      </c>
      <c r="M71" s="404" t="e">
        <f>'03'!#REF!+'04'!#REF!</f>
        <v>#REF!</v>
      </c>
      <c r="N71" s="404" t="e">
        <f t="shared" si="12"/>
        <v>#REF!</v>
      </c>
      <c r="O71" s="404">
        <f>'07'!R12</f>
        <v>71388202</v>
      </c>
      <c r="P71" s="404">
        <f t="shared" si="13"/>
        <v>-70739512</v>
      </c>
    </row>
    <row r="72" spans="1:16" ht="24.75" customHeight="1" hidden="1">
      <c r="A72" s="453" t="s">
        <v>76</v>
      </c>
      <c r="B72" s="478" t="s">
        <v>215</v>
      </c>
      <c r="C72" s="462">
        <f>(C63+C64+C65)/C62</f>
        <v>0.07551815529955011</v>
      </c>
      <c r="D72" s="396">
        <f aca="true" t="shared" si="18" ref="D72:L72">(D63+D64+D65)/D62</f>
        <v>0.7961007952325513</v>
      </c>
      <c r="E72" s="412">
        <f t="shared" si="18"/>
        <v>0.07187780772686433</v>
      </c>
      <c r="F72" s="412" t="e">
        <f t="shared" si="18"/>
        <v>#DIV/0!</v>
      </c>
      <c r="G72" s="412" t="e">
        <f t="shared" si="18"/>
        <v>#DIV/0!</v>
      </c>
      <c r="H72" s="412">
        <f t="shared" si="18"/>
        <v>1</v>
      </c>
      <c r="I72" s="412" t="e">
        <f t="shared" si="18"/>
        <v>#DIV/0!</v>
      </c>
      <c r="J72" s="412">
        <f t="shared" si="18"/>
        <v>0.9997863856451153</v>
      </c>
      <c r="K72" s="412">
        <f t="shared" si="18"/>
        <v>0.0020129067581331496</v>
      </c>
      <c r="L72" s="412" t="e">
        <f t="shared" si="18"/>
        <v>#DIV/0!</v>
      </c>
      <c r="M72" s="422"/>
      <c r="N72" s="479"/>
      <c r="O72" s="479"/>
      <c r="P72" s="479"/>
    </row>
    <row r="73" spans="1:16" ht="17.25" hidden="1">
      <c r="A73" s="1537" t="s">
        <v>498</v>
      </c>
      <c r="B73" s="1537"/>
      <c r="C73" s="406">
        <f>C56-C59-C60-C61</f>
        <v>0</v>
      </c>
      <c r="D73" s="406">
        <f aca="true" t="shared" si="19" ref="D73:L73">D56-D59-D60-D61</f>
        <v>0</v>
      </c>
      <c r="E73" s="406">
        <f t="shared" si="19"/>
        <v>0</v>
      </c>
      <c r="F73" s="406">
        <f t="shared" si="19"/>
        <v>0</v>
      </c>
      <c r="G73" s="406">
        <f t="shared" si="19"/>
        <v>0</v>
      </c>
      <c r="H73" s="406">
        <f t="shared" si="19"/>
        <v>0</v>
      </c>
      <c r="I73" s="406">
        <f t="shared" si="19"/>
        <v>0</v>
      </c>
      <c r="J73" s="406">
        <f t="shared" si="19"/>
        <v>0</v>
      </c>
      <c r="K73" s="406">
        <f t="shared" si="19"/>
        <v>0</v>
      </c>
      <c r="L73" s="406">
        <f t="shared" si="19"/>
        <v>0</v>
      </c>
      <c r="M73" s="422"/>
      <c r="N73" s="479"/>
      <c r="O73" s="479"/>
      <c r="P73" s="479"/>
    </row>
    <row r="74" spans="1:16" ht="17.25" hidden="1">
      <c r="A74" s="1538" t="s">
        <v>499</v>
      </c>
      <c r="B74" s="1538"/>
      <c r="C74" s="406">
        <f>C61-C62-C71</f>
        <v>0</v>
      </c>
      <c r="D74" s="406">
        <f aca="true" t="shared" si="20" ref="D74:L74">D61-D62-D71</f>
        <v>0</v>
      </c>
      <c r="E74" s="406">
        <f t="shared" si="20"/>
        <v>0</v>
      </c>
      <c r="F74" s="406">
        <f t="shared" si="20"/>
        <v>0</v>
      </c>
      <c r="G74" s="406">
        <f t="shared" si="20"/>
        <v>0</v>
      </c>
      <c r="H74" s="406">
        <f t="shared" si="20"/>
        <v>0</v>
      </c>
      <c r="I74" s="406">
        <f t="shared" si="20"/>
        <v>0</v>
      </c>
      <c r="J74" s="406">
        <f t="shared" si="20"/>
        <v>0</v>
      </c>
      <c r="K74" s="406">
        <f t="shared" si="20"/>
        <v>0</v>
      </c>
      <c r="L74" s="406">
        <f t="shared" si="20"/>
        <v>0</v>
      </c>
      <c r="M74" s="422"/>
      <c r="N74" s="479"/>
      <c r="O74" s="479"/>
      <c r="P74" s="479"/>
    </row>
    <row r="75" spans="1:16" ht="18.75" hidden="1">
      <c r="A75" s="464"/>
      <c r="B75" s="480" t="s">
        <v>518</v>
      </c>
      <c r="C75" s="480"/>
      <c r="D75" s="454"/>
      <c r="E75" s="454"/>
      <c r="F75" s="454"/>
      <c r="G75" s="1564" t="s">
        <v>518</v>
      </c>
      <c r="H75" s="1564"/>
      <c r="I75" s="1564"/>
      <c r="J75" s="1564"/>
      <c r="K75" s="1564"/>
      <c r="L75" s="1564"/>
      <c r="M75" s="467"/>
      <c r="N75" s="467"/>
      <c r="O75" s="467"/>
      <c r="P75" s="467"/>
    </row>
    <row r="76" spans="1:16" ht="18.75" hidden="1">
      <c r="A76" s="1565" t="s">
        <v>4</v>
      </c>
      <c r="B76" s="1565"/>
      <c r="C76" s="1565"/>
      <c r="D76" s="1565"/>
      <c r="E76" s="454"/>
      <c r="F76" s="454"/>
      <c r="G76" s="481"/>
      <c r="H76" s="1566" t="s">
        <v>519</v>
      </c>
      <c r="I76" s="1566"/>
      <c r="J76" s="1566"/>
      <c r="K76" s="1566"/>
      <c r="L76" s="1566"/>
      <c r="M76" s="467"/>
      <c r="N76" s="467"/>
      <c r="O76" s="467"/>
      <c r="P76" s="467"/>
    </row>
    <row r="77" ht="15" hidden="1"/>
    <row r="78" ht="15" hidden="1"/>
    <row r="79" ht="15" hidden="1"/>
    <row r="80" ht="15" hidden="1"/>
    <row r="81" ht="15" hidden="1"/>
    <row r="82" ht="15" hidden="1"/>
    <row r="83" ht="15" hidden="1"/>
    <row r="84" ht="15" hidden="1"/>
    <row r="85" ht="15" hidden="1"/>
    <row r="86" ht="15" hidden="1"/>
    <row r="87" spans="1:13" ht="16.5" hidden="1">
      <c r="A87" s="1549" t="s">
        <v>33</v>
      </c>
      <c r="B87" s="1550"/>
      <c r="C87" s="463"/>
      <c r="D87" s="1526" t="s">
        <v>79</v>
      </c>
      <c r="E87" s="1526"/>
      <c r="F87" s="1526"/>
      <c r="G87" s="1526"/>
      <c r="H87" s="1526"/>
      <c r="I87" s="1526"/>
      <c r="J87" s="1526"/>
      <c r="K87" s="1551"/>
      <c r="L87" s="1551"/>
      <c r="M87" s="467"/>
    </row>
    <row r="88" spans="1:13" ht="16.5" hidden="1">
      <c r="A88" s="1517" t="s">
        <v>342</v>
      </c>
      <c r="B88" s="1517"/>
      <c r="C88" s="1517"/>
      <c r="D88" s="1526" t="s">
        <v>216</v>
      </c>
      <c r="E88" s="1526"/>
      <c r="F88" s="1526"/>
      <c r="G88" s="1526"/>
      <c r="H88" s="1526"/>
      <c r="I88" s="1526"/>
      <c r="J88" s="1526"/>
      <c r="K88" s="1563" t="s">
        <v>506</v>
      </c>
      <c r="L88" s="1563"/>
      <c r="M88" s="464"/>
    </row>
    <row r="89" spans="1:13" ht="16.5" hidden="1">
      <c r="A89" s="1517" t="s">
        <v>343</v>
      </c>
      <c r="B89" s="1517"/>
      <c r="C89" s="413"/>
      <c r="D89" s="1530" t="s">
        <v>11</v>
      </c>
      <c r="E89" s="1530"/>
      <c r="F89" s="1530"/>
      <c r="G89" s="1530"/>
      <c r="H89" s="1530"/>
      <c r="I89" s="1530"/>
      <c r="J89" s="1530"/>
      <c r="K89" s="1551"/>
      <c r="L89" s="1551"/>
      <c r="M89" s="467"/>
    </row>
    <row r="90" spans="1:13" ht="15.75" hidden="1">
      <c r="A90" s="433" t="s">
        <v>119</v>
      </c>
      <c r="B90" s="433"/>
      <c r="C90" s="418"/>
      <c r="D90" s="468"/>
      <c r="E90" s="468"/>
      <c r="F90" s="469"/>
      <c r="G90" s="469"/>
      <c r="H90" s="469"/>
      <c r="I90" s="469"/>
      <c r="J90" s="469"/>
      <c r="K90" s="1567"/>
      <c r="L90" s="1567"/>
      <c r="M90" s="464"/>
    </row>
    <row r="91" spans="1:13" ht="15.75" hidden="1">
      <c r="A91" s="468"/>
      <c r="B91" s="468" t="s">
        <v>94</v>
      </c>
      <c r="C91" s="468"/>
      <c r="D91" s="468"/>
      <c r="E91" s="468"/>
      <c r="F91" s="468"/>
      <c r="G91" s="468"/>
      <c r="H91" s="468"/>
      <c r="I91" s="468"/>
      <c r="J91" s="468"/>
      <c r="K91" s="1552"/>
      <c r="L91" s="1552"/>
      <c r="M91" s="464"/>
    </row>
    <row r="92" spans="1:13" ht="15.75" hidden="1">
      <c r="A92" s="1245" t="s">
        <v>71</v>
      </c>
      <c r="B92" s="1246"/>
      <c r="C92" s="1531" t="s">
        <v>38</v>
      </c>
      <c r="D92" s="1553" t="s">
        <v>339</v>
      </c>
      <c r="E92" s="1553"/>
      <c r="F92" s="1553"/>
      <c r="G92" s="1553"/>
      <c r="H92" s="1553"/>
      <c r="I92" s="1553"/>
      <c r="J92" s="1553"/>
      <c r="K92" s="1553"/>
      <c r="L92" s="1553"/>
      <c r="M92" s="467"/>
    </row>
    <row r="93" spans="1:13" ht="15.75" hidden="1">
      <c r="A93" s="1247"/>
      <c r="B93" s="1248"/>
      <c r="C93" s="1531"/>
      <c r="D93" s="1568" t="s">
        <v>207</v>
      </c>
      <c r="E93" s="1569"/>
      <c r="F93" s="1569"/>
      <c r="G93" s="1569"/>
      <c r="H93" s="1569"/>
      <c r="I93" s="1569"/>
      <c r="J93" s="1570"/>
      <c r="K93" s="1571" t="s">
        <v>208</v>
      </c>
      <c r="L93" s="1571" t="s">
        <v>209</v>
      </c>
      <c r="M93" s="464"/>
    </row>
    <row r="94" spans="1:13" ht="15.75" hidden="1">
      <c r="A94" s="1247"/>
      <c r="B94" s="1248"/>
      <c r="C94" s="1531"/>
      <c r="D94" s="1576" t="s">
        <v>37</v>
      </c>
      <c r="E94" s="1577" t="s">
        <v>7</v>
      </c>
      <c r="F94" s="1578"/>
      <c r="G94" s="1578"/>
      <c r="H94" s="1578"/>
      <c r="I94" s="1578"/>
      <c r="J94" s="1579"/>
      <c r="K94" s="1572"/>
      <c r="L94" s="1574"/>
      <c r="M94" s="464"/>
    </row>
    <row r="95" spans="1:16" ht="15.75" hidden="1">
      <c r="A95" s="1535"/>
      <c r="B95" s="1536"/>
      <c r="C95" s="1531"/>
      <c r="D95" s="1576"/>
      <c r="E95" s="470" t="s">
        <v>210</v>
      </c>
      <c r="F95" s="470" t="s">
        <v>211</v>
      </c>
      <c r="G95" s="470" t="s">
        <v>212</v>
      </c>
      <c r="H95" s="470" t="s">
        <v>213</v>
      </c>
      <c r="I95" s="470" t="s">
        <v>344</v>
      </c>
      <c r="J95" s="470" t="s">
        <v>214</v>
      </c>
      <c r="K95" s="1573"/>
      <c r="L95" s="1575"/>
      <c r="M95" s="1529" t="s">
        <v>500</v>
      </c>
      <c r="N95" s="1529"/>
      <c r="O95" s="1529"/>
      <c r="P95" s="1529"/>
    </row>
    <row r="96" spans="1:16" ht="15" hidden="1">
      <c r="A96" s="1533" t="s">
        <v>6</v>
      </c>
      <c r="B96" s="1534"/>
      <c r="C96" s="471">
        <v>1</v>
      </c>
      <c r="D96" s="472">
        <v>2</v>
      </c>
      <c r="E96" s="471">
        <v>3</v>
      </c>
      <c r="F96" s="472">
        <v>4</v>
      </c>
      <c r="G96" s="471">
        <v>5</v>
      </c>
      <c r="H96" s="472">
        <v>6</v>
      </c>
      <c r="I96" s="471">
        <v>7</v>
      </c>
      <c r="J96" s="472">
        <v>8</v>
      </c>
      <c r="K96" s="471">
        <v>9</v>
      </c>
      <c r="L96" s="472">
        <v>10</v>
      </c>
      <c r="M96" s="473" t="s">
        <v>501</v>
      </c>
      <c r="N96" s="474" t="s">
        <v>504</v>
      </c>
      <c r="O96" s="474" t="s">
        <v>502</v>
      </c>
      <c r="P96" s="474" t="s">
        <v>503</v>
      </c>
    </row>
    <row r="97" spans="1:16" ht="24.75" customHeight="1" hidden="1">
      <c r="A97" s="425" t="s">
        <v>0</v>
      </c>
      <c r="B97" s="426" t="s">
        <v>131</v>
      </c>
      <c r="C97" s="404">
        <f>C98+C99</f>
        <v>77698000</v>
      </c>
      <c r="D97" s="404">
        <f aca="true" t="shared" si="21" ref="D97:L97">D98+D99</f>
        <v>1726087</v>
      </c>
      <c r="E97" s="404">
        <f t="shared" si="21"/>
        <v>992526</v>
      </c>
      <c r="F97" s="404">
        <f t="shared" si="21"/>
        <v>0</v>
      </c>
      <c r="G97" s="404">
        <f t="shared" si="21"/>
        <v>434217</v>
      </c>
      <c r="H97" s="404">
        <f t="shared" si="21"/>
        <v>110298</v>
      </c>
      <c r="I97" s="404">
        <f t="shared" si="21"/>
        <v>20700</v>
      </c>
      <c r="J97" s="404">
        <f t="shared" si="21"/>
        <v>168346</v>
      </c>
      <c r="K97" s="404">
        <f t="shared" si="21"/>
        <v>73826163</v>
      </c>
      <c r="L97" s="404">
        <f t="shared" si="21"/>
        <v>2145750</v>
      </c>
      <c r="M97" s="404" t="e">
        <f>'03'!#REF!+'04'!#REF!</f>
        <v>#REF!</v>
      </c>
      <c r="N97" s="404" t="e">
        <f>C97-M97</f>
        <v>#REF!</v>
      </c>
      <c r="O97" s="404">
        <f>'07'!C26</f>
        <v>489243444</v>
      </c>
      <c r="P97" s="404">
        <f>C97-O97</f>
        <v>-411545444</v>
      </c>
    </row>
    <row r="98" spans="1:16" ht="24.75" customHeight="1" hidden="1">
      <c r="A98" s="428">
        <v>1</v>
      </c>
      <c r="B98" s="429" t="s">
        <v>132</v>
      </c>
      <c r="C98" s="404">
        <f>D98+K98+L98</f>
        <v>42623095</v>
      </c>
      <c r="D98" s="404">
        <f>E98+F98+G98+H98+I98+J98</f>
        <v>901808</v>
      </c>
      <c r="E98" s="406">
        <v>547691</v>
      </c>
      <c r="F98" s="406"/>
      <c r="G98" s="406">
        <v>256217</v>
      </c>
      <c r="H98" s="406">
        <v>65000</v>
      </c>
      <c r="I98" s="406">
        <v>20700</v>
      </c>
      <c r="J98" s="406">
        <v>12200</v>
      </c>
      <c r="K98" s="406">
        <v>40571287</v>
      </c>
      <c r="L98" s="406">
        <v>1150000</v>
      </c>
      <c r="M98" s="406" t="e">
        <f>'03'!#REF!+'04'!#REF!</f>
        <v>#REF!</v>
      </c>
      <c r="N98" s="406" t="e">
        <f aca="true" t="shared" si="22" ref="N98:N112">C98-M98</f>
        <v>#REF!</v>
      </c>
      <c r="O98" s="406">
        <f>'07'!D26</f>
        <v>402080669</v>
      </c>
      <c r="P98" s="406">
        <f aca="true" t="shared" si="23" ref="P98:P112">C98-O98</f>
        <v>-359457574</v>
      </c>
    </row>
    <row r="99" spans="1:16" ht="24.75" customHeight="1" hidden="1">
      <c r="A99" s="428">
        <v>2</v>
      </c>
      <c r="B99" s="429" t="s">
        <v>133</v>
      </c>
      <c r="C99" s="404">
        <f>D99+K99+L99</f>
        <v>35074905</v>
      </c>
      <c r="D99" s="404">
        <f>E99+F99+G99+H99+I99+J99</f>
        <v>824279</v>
      </c>
      <c r="E99" s="406">
        <v>444835</v>
      </c>
      <c r="F99" s="406"/>
      <c r="G99" s="406">
        <v>178000</v>
      </c>
      <c r="H99" s="406">
        <v>45298</v>
      </c>
      <c r="I99" s="406"/>
      <c r="J99" s="406">
        <v>156146</v>
      </c>
      <c r="K99" s="406">
        <v>33254876</v>
      </c>
      <c r="L99" s="406">
        <v>995750</v>
      </c>
      <c r="M99" s="406" t="e">
        <f>'03'!#REF!+'04'!#REF!</f>
        <v>#REF!</v>
      </c>
      <c r="N99" s="406" t="e">
        <f t="shared" si="22"/>
        <v>#REF!</v>
      </c>
      <c r="O99" s="406">
        <f>'07'!E26</f>
        <v>87162775</v>
      </c>
      <c r="P99" s="406">
        <f t="shared" si="23"/>
        <v>-52087870</v>
      </c>
    </row>
    <row r="100" spans="1:16" ht="24.75" customHeight="1" hidden="1">
      <c r="A100" s="394" t="s">
        <v>1</v>
      </c>
      <c r="B100" s="395" t="s">
        <v>134</v>
      </c>
      <c r="C100" s="404">
        <f>D100+K100+L100</f>
        <v>4094298</v>
      </c>
      <c r="D100" s="404">
        <f>E100+F100+G100+H100+I100+J100</f>
        <v>29764</v>
      </c>
      <c r="E100" s="406">
        <v>10764</v>
      </c>
      <c r="F100" s="406"/>
      <c r="G100" s="406">
        <v>19000</v>
      </c>
      <c r="H100" s="406"/>
      <c r="I100" s="406"/>
      <c r="J100" s="406"/>
      <c r="K100" s="406">
        <v>3103784</v>
      </c>
      <c r="L100" s="406">
        <v>960750</v>
      </c>
      <c r="M100" s="406" t="e">
        <f>'03'!#REF!+'04'!#REF!</f>
        <v>#REF!</v>
      </c>
      <c r="N100" s="406" t="e">
        <f t="shared" si="22"/>
        <v>#REF!</v>
      </c>
      <c r="O100" s="406">
        <f>'07'!F26</f>
        <v>4729514</v>
      </c>
      <c r="P100" s="406">
        <f t="shared" si="23"/>
        <v>-635216</v>
      </c>
    </row>
    <row r="101" spans="1:16" ht="24.75" customHeight="1" hidden="1">
      <c r="A101" s="394" t="s">
        <v>9</v>
      </c>
      <c r="B101" s="395" t="s">
        <v>135</v>
      </c>
      <c r="C101" s="404">
        <f>D101+K101+L101</f>
        <v>0</v>
      </c>
      <c r="D101" s="404">
        <f>E101+F101+G101+H101+I101+J101</f>
        <v>0</v>
      </c>
      <c r="E101" s="406"/>
      <c r="F101" s="406"/>
      <c r="G101" s="406"/>
      <c r="H101" s="406"/>
      <c r="I101" s="406"/>
      <c r="J101" s="406"/>
      <c r="K101" s="406"/>
      <c r="L101" s="406"/>
      <c r="M101" s="406" t="e">
        <f>'03'!#REF!+'04'!#REF!</f>
        <v>#REF!</v>
      </c>
      <c r="N101" s="406" t="e">
        <f t="shared" si="22"/>
        <v>#REF!</v>
      </c>
      <c r="O101" s="406">
        <f>'07'!G26</f>
        <v>84350688</v>
      </c>
      <c r="P101" s="406">
        <f t="shared" si="23"/>
        <v>-84350688</v>
      </c>
    </row>
    <row r="102" spans="1:16" ht="24.75" customHeight="1" hidden="1">
      <c r="A102" s="394" t="s">
        <v>136</v>
      </c>
      <c r="B102" s="395" t="s">
        <v>137</v>
      </c>
      <c r="C102" s="404">
        <f>C103+C112</f>
        <v>73603702</v>
      </c>
      <c r="D102" s="404">
        <f aca="true" t="shared" si="24" ref="D102:L102">D103+D112</f>
        <v>1696323</v>
      </c>
      <c r="E102" s="404">
        <f t="shared" si="24"/>
        <v>981762</v>
      </c>
      <c r="F102" s="404">
        <f t="shared" si="24"/>
        <v>0</v>
      </c>
      <c r="G102" s="404">
        <f t="shared" si="24"/>
        <v>415217</v>
      </c>
      <c r="H102" s="404">
        <f t="shared" si="24"/>
        <v>110298</v>
      </c>
      <c r="I102" s="404">
        <f t="shared" si="24"/>
        <v>20700</v>
      </c>
      <c r="J102" s="404">
        <f t="shared" si="24"/>
        <v>168346</v>
      </c>
      <c r="K102" s="404">
        <f t="shared" si="24"/>
        <v>70722379</v>
      </c>
      <c r="L102" s="404">
        <f t="shared" si="24"/>
        <v>1185000</v>
      </c>
      <c r="M102" s="404" t="e">
        <f>'03'!#REF!+'04'!#REF!</f>
        <v>#REF!</v>
      </c>
      <c r="N102" s="404" t="e">
        <f t="shared" si="22"/>
        <v>#REF!</v>
      </c>
      <c r="O102" s="404">
        <f>'07'!H26</f>
        <v>484513930</v>
      </c>
      <c r="P102" s="404">
        <f t="shared" si="23"/>
        <v>-410910228</v>
      </c>
    </row>
    <row r="103" spans="1:16" ht="24.75" customHeight="1" hidden="1">
      <c r="A103" s="394" t="s">
        <v>52</v>
      </c>
      <c r="B103" s="430" t="s">
        <v>138</v>
      </c>
      <c r="C103" s="404">
        <f>SUM(C104:C111)</f>
        <v>72849668</v>
      </c>
      <c r="D103" s="404">
        <f aca="true" t="shared" si="25" ref="D103:L103">SUM(D104:D111)</f>
        <v>942289</v>
      </c>
      <c r="E103" s="404">
        <f t="shared" si="25"/>
        <v>526845</v>
      </c>
      <c r="F103" s="404">
        <f t="shared" si="25"/>
        <v>0</v>
      </c>
      <c r="G103" s="404">
        <f t="shared" si="25"/>
        <v>197800</v>
      </c>
      <c r="H103" s="404">
        <f t="shared" si="25"/>
        <v>49298</v>
      </c>
      <c r="I103" s="404">
        <f t="shared" si="25"/>
        <v>0</v>
      </c>
      <c r="J103" s="404">
        <f t="shared" si="25"/>
        <v>168346</v>
      </c>
      <c r="K103" s="404">
        <f t="shared" si="25"/>
        <v>70722379</v>
      </c>
      <c r="L103" s="404">
        <f t="shared" si="25"/>
        <v>1185000</v>
      </c>
      <c r="M103" s="404" t="e">
        <f>'03'!#REF!+'04'!#REF!</f>
        <v>#REF!</v>
      </c>
      <c r="N103" s="404" t="e">
        <f t="shared" si="22"/>
        <v>#REF!</v>
      </c>
      <c r="O103" s="404">
        <f>'07'!I26</f>
        <v>474319652</v>
      </c>
      <c r="P103" s="404">
        <f t="shared" si="23"/>
        <v>-401469984</v>
      </c>
    </row>
    <row r="104" spans="1:16" ht="24.75" customHeight="1" hidden="1">
      <c r="A104" s="428" t="s">
        <v>54</v>
      </c>
      <c r="B104" s="429" t="s">
        <v>139</v>
      </c>
      <c r="C104" s="404">
        <f aca="true" t="shared" si="26" ref="C104:C112">D104+K104+L104</f>
        <v>4196249</v>
      </c>
      <c r="D104" s="404">
        <f aca="true" t="shared" si="27" ref="D104:D112">E104+F104+G104+H104+I104+J104</f>
        <v>562189</v>
      </c>
      <c r="E104" s="406">
        <v>241945</v>
      </c>
      <c r="F104" s="406"/>
      <c r="G104" s="406">
        <v>107000</v>
      </c>
      <c r="H104" s="406">
        <v>45298</v>
      </c>
      <c r="I104" s="406"/>
      <c r="J104" s="406">
        <v>167946</v>
      </c>
      <c r="K104" s="406">
        <v>3609060</v>
      </c>
      <c r="L104" s="406">
        <v>25000</v>
      </c>
      <c r="M104" s="406" t="e">
        <f>'03'!#REF!+'04'!#REF!</f>
        <v>#REF!</v>
      </c>
      <c r="N104" s="406" t="e">
        <f t="shared" si="22"/>
        <v>#REF!</v>
      </c>
      <c r="O104" s="406">
        <f>'07'!J26</f>
        <v>34132549</v>
      </c>
      <c r="P104" s="406">
        <f t="shared" si="23"/>
        <v>-29936300</v>
      </c>
    </row>
    <row r="105" spans="1:16" ht="24.75" customHeight="1" hidden="1">
      <c r="A105" s="428" t="s">
        <v>55</v>
      </c>
      <c r="B105" s="429" t="s">
        <v>140</v>
      </c>
      <c r="C105" s="404">
        <f t="shared" si="26"/>
        <v>0</v>
      </c>
      <c r="D105" s="404">
        <f t="shared" si="27"/>
        <v>0</v>
      </c>
      <c r="E105" s="406"/>
      <c r="F105" s="406"/>
      <c r="G105" s="406"/>
      <c r="H105" s="406"/>
      <c r="I105" s="406"/>
      <c r="J105" s="406"/>
      <c r="K105" s="406"/>
      <c r="L105" s="406"/>
      <c r="M105" s="406" t="e">
        <f>'03'!#REF!+'04'!#REF!</f>
        <v>#REF!</v>
      </c>
      <c r="N105" s="406" t="e">
        <f t="shared" si="22"/>
        <v>#REF!</v>
      </c>
      <c r="O105" s="406">
        <f>'07'!K26</f>
        <v>158914456</v>
      </c>
      <c r="P105" s="406">
        <f t="shared" si="23"/>
        <v>-158914456</v>
      </c>
    </row>
    <row r="106" spans="1:16" ht="24.75" customHeight="1" hidden="1">
      <c r="A106" s="428" t="s">
        <v>141</v>
      </c>
      <c r="B106" s="429" t="s">
        <v>202</v>
      </c>
      <c r="C106" s="404">
        <f t="shared" si="26"/>
        <v>0</v>
      </c>
      <c r="D106" s="404">
        <f t="shared" si="27"/>
        <v>0</v>
      </c>
      <c r="E106" s="406"/>
      <c r="F106" s="406"/>
      <c r="G106" s="406"/>
      <c r="H106" s="406"/>
      <c r="I106" s="406"/>
      <c r="J106" s="406"/>
      <c r="K106" s="406"/>
      <c r="L106" s="406"/>
      <c r="M106" s="406" t="e">
        <f>'03'!#REF!</f>
        <v>#REF!</v>
      </c>
      <c r="N106" s="406" t="e">
        <f t="shared" si="22"/>
        <v>#REF!</v>
      </c>
      <c r="O106" s="406">
        <f>'07'!L26</f>
        <v>0</v>
      </c>
      <c r="P106" s="406">
        <f t="shared" si="23"/>
        <v>0</v>
      </c>
    </row>
    <row r="107" spans="1:16" ht="24.75" customHeight="1" hidden="1">
      <c r="A107" s="428" t="s">
        <v>143</v>
      </c>
      <c r="B107" s="429" t="s">
        <v>142</v>
      </c>
      <c r="C107" s="404">
        <f t="shared" si="26"/>
        <v>67438608</v>
      </c>
      <c r="D107" s="404">
        <f t="shared" si="27"/>
        <v>315289</v>
      </c>
      <c r="E107" s="406">
        <v>220089</v>
      </c>
      <c r="F107" s="406"/>
      <c r="G107" s="406">
        <v>90800</v>
      </c>
      <c r="H107" s="406">
        <v>4000</v>
      </c>
      <c r="I107" s="406"/>
      <c r="J107" s="406">
        <v>400</v>
      </c>
      <c r="K107" s="406">
        <v>67113319</v>
      </c>
      <c r="L107" s="406">
        <v>10000</v>
      </c>
      <c r="M107" s="406" t="e">
        <f>'03'!#REF!+'04'!#REF!</f>
        <v>#REF!</v>
      </c>
      <c r="N107" s="406" t="e">
        <f t="shared" si="22"/>
        <v>#REF!</v>
      </c>
      <c r="O107" s="406">
        <f>'07'!M26</f>
        <v>189581287</v>
      </c>
      <c r="P107" s="406">
        <f t="shared" si="23"/>
        <v>-122142679</v>
      </c>
    </row>
    <row r="108" spans="1:16" ht="24.75" customHeight="1" hidden="1">
      <c r="A108" s="428" t="s">
        <v>145</v>
      </c>
      <c r="B108" s="429" t="s">
        <v>144</v>
      </c>
      <c r="C108" s="404">
        <f t="shared" si="26"/>
        <v>1214811</v>
      </c>
      <c r="D108" s="404">
        <f t="shared" si="27"/>
        <v>64811</v>
      </c>
      <c r="E108" s="406">
        <v>64811</v>
      </c>
      <c r="F108" s="406"/>
      <c r="G108" s="406"/>
      <c r="H108" s="406"/>
      <c r="I108" s="406"/>
      <c r="J108" s="406"/>
      <c r="K108" s="406"/>
      <c r="L108" s="406">
        <v>1150000</v>
      </c>
      <c r="M108" s="406" t="e">
        <f>'03'!#REF!+'04'!#REF!</f>
        <v>#REF!</v>
      </c>
      <c r="N108" s="406" t="e">
        <f t="shared" si="22"/>
        <v>#REF!</v>
      </c>
      <c r="O108" s="406">
        <f>'07'!N26</f>
        <v>8498765</v>
      </c>
      <c r="P108" s="406">
        <f t="shared" si="23"/>
        <v>-7283954</v>
      </c>
    </row>
    <row r="109" spans="1:16" ht="24.75" customHeight="1" hidden="1">
      <c r="A109" s="428" t="s">
        <v>147</v>
      </c>
      <c r="B109" s="429" t="s">
        <v>146</v>
      </c>
      <c r="C109" s="404">
        <f t="shared" si="26"/>
        <v>0</v>
      </c>
      <c r="D109" s="404">
        <f t="shared" si="27"/>
        <v>0</v>
      </c>
      <c r="E109" s="406"/>
      <c r="F109" s="406"/>
      <c r="G109" s="406"/>
      <c r="H109" s="406"/>
      <c r="I109" s="406"/>
      <c r="J109" s="406"/>
      <c r="K109" s="406"/>
      <c r="L109" s="406"/>
      <c r="M109" s="406" t="e">
        <f>'03'!#REF!+'04'!#REF!</f>
        <v>#REF!</v>
      </c>
      <c r="N109" s="406" t="e">
        <f t="shared" si="22"/>
        <v>#REF!</v>
      </c>
      <c r="O109" s="406">
        <f>'07'!O26</f>
        <v>1809762</v>
      </c>
      <c r="P109" s="406">
        <f t="shared" si="23"/>
        <v>-1809762</v>
      </c>
    </row>
    <row r="110" spans="1:16" ht="24.75" customHeight="1" hidden="1">
      <c r="A110" s="428" t="s">
        <v>149</v>
      </c>
      <c r="B110" s="431" t="s">
        <v>148</v>
      </c>
      <c r="C110" s="404">
        <f t="shared" si="26"/>
        <v>0</v>
      </c>
      <c r="D110" s="404">
        <f t="shared" si="27"/>
        <v>0</v>
      </c>
      <c r="E110" s="406"/>
      <c r="F110" s="406"/>
      <c r="G110" s="406"/>
      <c r="H110" s="406"/>
      <c r="I110" s="406"/>
      <c r="J110" s="406"/>
      <c r="K110" s="406"/>
      <c r="L110" s="406"/>
      <c r="M110" s="406" t="e">
        <f>'03'!#REF!+'04'!#REF!</f>
        <v>#REF!</v>
      </c>
      <c r="N110" s="406" t="e">
        <f t="shared" si="22"/>
        <v>#REF!</v>
      </c>
      <c r="O110" s="406">
        <f>'07'!P26</f>
        <v>0</v>
      </c>
      <c r="P110" s="406">
        <f t="shared" si="23"/>
        <v>0</v>
      </c>
    </row>
    <row r="111" spans="1:16" ht="24.75" customHeight="1" hidden="1">
      <c r="A111" s="428" t="s">
        <v>186</v>
      </c>
      <c r="B111" s="429" t="s">
        <v>150</v>
      </c>
      <c r="C111" s="404">
        <f t="shared" si="26"/>
        <v>0</v>
      </c>
      <c r="D111" s="404">
        <f t="shared" si="27"/>
        <v>0</v>
      </c>
      <c r="E111" s="406"/>
      <c r="F111" s="406"/>
      <c r="G111" s="406"/>
      <c r="H111" s="406"/>
      <c r="I111" s="406"/>
      <c r="J111" s="406"/>
      <c r="K111" s="406"/>
      <c r="L111" s="406"/>
      <c r="M111" s="406" t="e">
        <f>'03'!#REF!+'04'!#REF!</f>
        <v>#REF!</v>
      </c>
      <c r="N111" s="406" t="e">
        <f t="shared" si="22"/>
        <v>#REF!</v>
      </c>
      <c r="O111" s="406">
        <f>'07'!Q26</f>
        <v>81382833</v>
      </c>
      <c r="P111" s="406">
        <f t="shared" si="23"/>
        <v>-81382833</v>
      </c>
    </row>
    <row r="112" spans="1:16" ht="24.75" customHeight="1" hidden="1">
      <c r="A112" s="394" t="s">
        <v>53</v>
      </c>
      <c r="B112" s="395" t="s">
        <v>151</v>
      </c>
      <c r="C112" s="404">
        <f t="shared" si="26"/>
        <v>754034</v>
      </c>
      <c r="D112" s="404">
        <f t="shared" si="27"/>
        <v>754034</v>
      </c>
      <c r="E112" s="406">
        <v>454917</v>
      </c>
      <c r="F112" s="406"/>
      <c r="G112" s="406">
        <v>217417</v>
      </c>
      <c r="H112" s="406">
        <v>61000</v>
      </c>
      <c r="I112" s="406">
        <v>20700</v>
      </c>
      <c r="J112" s="406"/>
      <c r="K112" s="406"/>
      <c r="L112" s="406"/>
      <c r="M112" s="404" t="e">
        <f>'03'!#REF!+'04'!#REF!</f>
        <v>#REF!</v>
      </c>
      <c r="N112" s="404" t="e">
        <f t="shared" si="22"/>
        <v>#REF!</v>
      </c>
      <c r="O112" s="404">
        <f>'07'!R26</f>
        <v>10194278</v>
      </c>
      <c r="P112" s="404">
        <f t="shared" si="23"/>
        <v>-9440244</v>
      </c>
    </row>
    <row r="113" spans="1:16" ht="25.5" hidden="1">
      <c r="A113" s="453" t="s">
        <v>76</v>
      </c>
      <c r="B113" s="478" t="s">
        <v>215</v>
      </c>
      <c r="C113" s="462">
        <f>(C104+C105+C106)/C103</f>
        <v>0.05760148419619428</v>
      </c>
      <c r="D113" s="396">
        <f aca="true" t="shared" si="28" ref="D113:L113">(D104+D105+D106)/D103</f>
        <v>0.5966205696978315</v>
      </c>
      <c r="E113" s="412">
        <f t="shared" si="28"/>
        <v>0.45923374047395343</v>
      </c>
      <c r="F113" s="412" t="e">
        <f t="shared" si="28"/>
        <v>#DIV/0!</v>
      </c>
      <c r="G113" s="412">
        <f t="shared" si="28"/>
        <v>0.5409504550050556</v>
      </c>
      <c r="H113" s="412">
        <f t="shared" si="28"/>
        <v>0.9188608057121993</v>
      </c>
      <c r="I113" s="412" t="e">
        <f t="shared" si="28"/>
        <v>#DIV/0!</v>
      </c>
      <c r="J113" s="412">
        <f t="shared" si="28"/>
        <v>0.9976239411687834</v>
      </c>
      <c r="K113" s="412">
        <f t="shared" si="28"/>
        <v>0.05103137155496423</v>
      </c>
      <c r="L113" s="412">
        <f t="shared" si="28"/>
        <v>0.02109704641350211</v>
      </c>
      <c r="M113" s="422"/>
      <c r="N113" s="479"/>
      <c r="O113" s="479"/>
      <c r="P113" s="479"/>
    </row>
    <row r="114" spans="1:16" ht="17.25" hidden="1">
      <c r="A114" s="1537" t="s">
        <v>498</v>
      </c>
      <c r="B114" s="1537"/>
      <c r="C114" s="406">
        <f>C97-C100-C101-C102</f>
        <v>0</v>
      </c>
      <c r="D114" s="406">
        <f aca="true" t="shared" si="29" ref="D114:L114">D97-D100-D101-D102</f>
        <v>0</v>
      </c>
      <c r="E114" s="406">
        <f t="shared" si="29"/>
        <v>0</v>
      </c>
      <c r="F114" s="406">
        <f t="shared" si="29"/>
        <v>0</v>
      </c>
      <c r="G114" s="406">
        <f t="shared" si="29"/>
        <v>0</v>
      </c>
      <c r="H114" s="406">
        <f t="shared" si="29"/>
        <v>0</v>
      </c>
      <c r="I114" s="406">
        <f t="shared" si="29"/>
        <v>0</v>
      </c>
      <c r="J114" s="406">
        <f t="shared" si="29"/>
        <v>0</v>
      </c>
      <c r="K114" s="406">
        <f t="shared" si="29"/>
        <v>0</v>
      </c>
      <c r="L114" s="406">
        <f t="shared" si="29"/>
        <v>0</v>
      </c>
      <c r="M114" s="422"/>
      <c r="N114" s="479"/>
      <c r="O114" s="479"/>
      <c r="P114" s="479"/>
    </row>
    <row r="115" spans="1:16" ht="17.25" hidden="1">
      <c r="A115" s="1538" t="s">
        <v>499</v>
      </c>
      <c r="B115" s="1538"/>
      <c r="C115" s="406">
        <f>C102-C103-C112</f>
        <v>0</v>
      </c>
      <c r="D115" s="406">
        <f aca="true" t="shared" si="30" ref="D115:L115">D102-D103-D112</f>
        <v>0</v>
      </c>
      <c r="E115" s="406">
        <f t="shared" si="30"/>
        <v>0</v>
      </c>
      <c r="F115" s="406">
        <f t="shared" si="30"/>
        <v>0</v>
      </c>
      <c r="G115" s="406">
        <f t="shared" si="30"/>
        <v>0</v>
      </c>
      <c r="H115" s="406">
        <f t="shared" si="30"/>
        <v>0</v>
      </c>
      <c r="I115" s="406">
        <f t="shared" si="30"/>
        <v>0</v>
      </c>
      <c r="J115" s="406">
        <f t="shared" si="30"/>
        <v>0</v>
      </c>
      <c r="K115" s="406">
        <f t="shared" si="30"/>
        <v>0</v>
      </c>
      <c r="L115" s="406">
        <f t="shared" si="30"/>
        <v>0</v>
      </c>
      <c r="M115" s="422"/>
      <c r="N115" s="479"/>
      <c r="O115" s="479"/>
      <c r="P115" s="479"/>
    </row>
    <row r="116" spans="1:16" ht="18.75" hidden="1">
      <c r="A116" s="464"/>
      <c r="B116" s="480" t="s">
        <v>518</v>
      </c>
      <c r="C116" s="480"/>
      <c r="D116" s="454"/>
      <c r="E116" s="454"/>
      <c r="F116" s="454"/>
      <c r="G116" s="1564" t="s">
        <v>518</v>
      </c>
      <c r="H116" s="1564"/>
      <c r="I116" s="1564"/>
      <c r="J116" s="1564"/>
      <c r="K116" s="1564"/>
      <c r="L116" s="1564"/>
      <c r="M116" s="467"/>
      <c r="N116" s="467"/>
      <c r="O116" s="467"/>
      <c r="P116" s="467"/>
    </row>
    <row r="117" spans="1:16" ht="18.75" hidden="1">
      <c r="A117" s="1565" t="s">
        <v>4</v>
      </c>
      <c r="B117" s="1565"/>
      <c r="C117" s="1565"/>
      <c r="D117" s="1565"/>
      <c r="E117" s="454"/>
      <c r="F117" s="454"/>
      <c r="G117" s="481"/>
      <c r="H117" s="1566" t="s">
        <v>519</v>
      </c>
      <c r="I117" s="1566"/>
      <c r="J117" s="1566"/>
      <c r="K117" s="1566"/>
      <c r="L117" s="1566"/>
      <c r="M117" s="467"/>
      <c r="N117" s="467"/>
      <c r="O117" s="467"/>
      <c r="P117" s="467"/>
    </row>
    <row r="118" ht="15" hidden="1"/>
    <row r="119" ht="15" hidden="1"/>
    <row r="120" ht="15" hidden="1"/>
    <row r="121" ht="15" hidden="1"/>
    <row r="122" ht="15" hidden="1"/>
    <row r="123" ht="15" hidden="1"/>
    <row r="124" ht="15" hidden="1"/>
    <row r="125" ht="15" hidden="1"/>
    <row r="126" ht="15" hidden="1"/>
    <row r="127" ht="15" hidden="1"/>
    <row r="128" ht="15" hidden="1"/>
    <row r="129" ht="15" hidden="1"/>
    <row r="130" spans="1:13" ht="16.5" hidden="1">
      <c r="A130" s="1549" t="s">
        <v>33</v>
      </c>
      <c r="B130" s="1550"/>
      <c r="C130" s="463"/>
      <c r="D130" s="1526" t="s">
        <v>79</v>
      </c>
      <c r="E130" s="1526"/>
      <c r="F130" s="1526"/>
      <c r="G130" s="1526"/>
      <c r="H130" s="1526"/>
      <c r="I130" s="1526"/>
      <c r="J130" s="1526"/>
      <c r="K130" s="1551"/>
      <c r="L130" s="1551"/>
      <c r="M130" s="467"/>
    </row>
    <row r="131" spans="1:13" ht="16.5" hidden="1">
      <c r="A131" s="1517" t="s">
        <v>342</v>
      </c>
      <c r="B131" s="1517"/>
      <c r="C131" s="1517"/>
      <c r="D131" s="1526" t="s">
        <v>216</v>
      </c>
      <c r="E131" s="1526"/>
      <c r="F131" s="1526"/>
      <c r="G131" s="1526"/>
      <c r="H131" s="1526"/>
      <c r="I131" s="1526"/>
      <c r="J131" s="1526"/>
      <c r="K131" s="1563" t="s">
        <v>507</v>
      </c>
      <c r="L131" s="1563"/>
      <c r="M131" s="464"/>
    </row>
    <row r="132" spans="1:13" ht="16.5" hidden="1">
      <c r="A132" s="1517" t="s">
        <v>343</v>
      </c>
      <c r="B132" s="1517"/>
      <c r="C132" s="413"/>
      <c r="D132" s="1530" t="s">
        <v>552</v>
      </c>
      <c r="E132" s="1530"/>
      <c r="F132" s="1530"/>
      <c r="G132" s="1530"/>
      <c r="H132" s="1530"/>
      <c r="I132" s="1530"/>
      <c r="J132" s="1530"/>
      <c r="K132" s="1551"/>
      <c r="L132" s="1551"/>
      <c r="M132" s="467"/>
    </row>
    <row r="133" spans="1:13" ht="15.75" hidden="1">
      <c r="A133" s="433" t="s">
        <v>119</v>
      </c>
      <c r="B133" s="433"/>
      <c r="C133" s="418"/>
      <c r="D133" s="468"/>
      <c r="E133" s="468"/>
      <c r="F133" s="469"/>
      <c r="G133" s="469"/>
      <c r="H133" s="469"/>
      <c r="I133" s="469"/>
      <c r="J133" s="469"/>
      <c r="K133" s="1567"/>
      <c r="L133" s="1567"/>
      <c r="M133" s="464"/>
    </row>
    <row r="134" spans="1:13" ht="15.75" hidden="1">
      <c r="A134" s="468"/>
      <c r="B134" s="468" t="s">
        <v>94</v>
      </c>
      <c r="C134" s="468"/>
      <c r="D134" s="468"/>
      <c r="E134" s="468"/>
      <c r="F134" s="468"/>
      <c r="G134" s="468"/>
      <c r="H134" s="468"/>
      <c r="I134" s="468"/>
      <c r="J134" s="468"/>
      <c r="K134" s="1552"/>
      <c r="L134" s="1552"/>
      <c r="M134" s="464"/>
    </row>
    <row r="135" spans="1:13" ht="15.75" hidden="1">
      <c r="A135" s="1245" t="s">
        <v>71</v>
      </c>
      <c r="B135" s="1246"/>
      <c r="C135" s="1531" t="s">
        <v>38</v>
      </c>
      <c r="D135" s="1553" t="s">
        <v>339</v>
      </c>
      <c r="E135" s="1553"/>
      <c r="F135" s="1553"/>
      <c r="G135" s="1553"/>
      <c r="H135" s="1553"/>
      <c r="I135" s="1553"/>
      <c r="J135" s="1553"/>
      <c r="K135" s="1553"/>
      <c r="L135" s="1553"/>
      <c r="M135" s="467"/>
    </row>
    <row r="136" spans="1:13" ht="15.75" hidden="1">
      <c r="A136" s="1247"/>
      <c r="B136" s="1248"/>
      <c r="C136" s="1531"/>
      <c r="D136" s="1568" t="s">
        <v>207</v>
      </c>
      <c r="E136" s="1569"/>
      <c r="F136" s="1569"/>
      <c r="G136" s="1569"/>
      <c r="H136" s="1569"/>
      <c r="I136" s="1569"/>
      <c r="J136" s="1570"/>
      <c r="K136" s="1571" t="s">
        <v>208</v>
      </c>
      <c r="L136" s="1571" t="s">
        <v>209</v>
      </c>
      <c r="M136" s="464"/>
    </row>
    <row r="137" spans="1:13" ht="15.75" hidden="1">
      <c r="A137" s="1247"/>
      <c r="B137" s="1248"/>
      <c r="C137" s="1531"/>
      <c r="D137" s="1576" t="s">
        <v>37</v>
      </c>
      <c r="E137" s="1577" t="s">
        <v>7</v>
      </c>
      <c r="F137" s="1578"/>
      <c r="G137" s="1578"/>
      <c r="H137" s="1578"/>
      <c r="I137" s="1578"/>
      <c r="J137" s="1579"/>
      <c r="K137" s="1572"/>
      <c r="L137" s="1574"/>
      <c r="M137" s="464"/>
    </row>
    <row r="138" spans="1:16" ht="15.75" hidden="1">
      <c r="A138" s="1535"/>
      <c r="B138" s="1536"/>
      <c r="C138" s="1531"/>
      <c r="D138" s="1576"/>
      <c r="E138" s="470" t="s">
        <v>210</v>
      </c>
      <c r="F138" s="470" t="s">
        <v>211</v>
      </c>
      <c r="G138" s="470" t="s">
        <v>212</v>
      </c>
      <c r="H138" s="470" t="s">
        <v>213</v>
      </c>
      <c r="I138" s="470" t="s">
        <v>344</v>
      </c>
      <c r="J138" s="470" t="s">
        <v>214</v>
      </c>
      <c r="K138" s="1573"/>
      <c r="L138" s="1575"/>
      <c r="M138" s="1529" t="s">
        <v>500</v>
      </c>
      <c r="N138" s="1529"/>
      <c r="O138" s="1529"/>
      <c r="P138" s="1529"/>
    </row>
    <row r="139" spans="1:16" ht="15" hidden="1">
      <c r="A139" s="1533" t="s">
        <v>6</v>
      </c>
      <c r="B139" s="1534"/>
      <c r="C139" s="471">
        <v>1</v>
      </c>
      <c r="D139" s="472">
        <v>2</v>
      </c>
      <c r="E139" s="471">
        <v>3</v>
      </c>
      <c r="F139" s="472">
        <v>4</v>
      </c>
      <c r="G139" s="471">
        <v>5</v>
      </c>
      <c r="H139" s="472">
        <v>6</v>
      </c>
      <c r="I139" s="471">
        <v>7</v>
      </c>
      <c r="J139" s="472">
        <v>8</v>
      </c>
      <c r="K139" s="471">
        <v>9</v>
      </c>
      <c r="L139" s="472">
        <v>10</v>
      </c>
      <c r="M139" s="473" t="s">
        <v>501</v>
      </c>
      <c r="N139" s="474" t="s">
        <v>504</v>
      </c>
      <c r="O139" s="474" t="s">
        <v>502</v>
      </c>
      <c r="P139" s="474" t="s">
        <v>503</v>
      </c>
    </row>
    <row r="140" spans="1:16" ht="24.75" customHeight="1" hidden="1">
      <c r="A140" s="425" t="s">
        <v>0</v>
      </c>
      <c r="B140" s="426" t="s">
        <v>131</v>
      </c>
      <c r="C140" s="404">
        <f>C141+C142</f>
        <v>3784244</v>
      </c>
      <c r="D140" s="404">
        <f aca="true" t="shared" si="31" ref="D140:L140">D141+D142</f>
        <v>154333</v>
      </c>
      <c r="E140" s="404">
        <f t="shared" si="31"/>
        <v>152430</v>
      </c>
      <c r="F140" s="404">
        <f t="shared" si="31"/>
        <v>0</v>
      </c>
      <c r="G140" s="404">
        <f t="shared" si="31"/>
        <v>0</v>
      </c>
      <c r="H140" s="404">
        <f t="shared" si="31"/>
        <v>0</v>
      </c>
      <c r="I140" s="404">
        <f t="shared" si="31"/>
        <v>1903</v>
      </c>
      <c r="J140" s="404">
        <f t="shared" si="31"/>
        <v>0</v>
      </c>
      <c r="K140" s="404">
        <f t="shared" si="31"/>
        <v>3419094</v>
      </c>
      <c r="L140" s="404">
        <f t="shared" si="31"/>
        <v>210817</v>
      </c>
      <c r="M140" s="404" t="e">
        <f>'03'!#REF!+'04'!#REF!</f>
        <v>#REF!</v>
      </c>
      <c r="N140" s="404" t="e">
        <f>C140-M140</f>
        <v>#REF!</v>
      </c>
      <c r="O140" s="404" t="e">
        <f>'07'!#REF!</f>
        <v>#REF!</v>
      </c>
      <c r="P140" s="404" t="e">
        <f>C140-O140</f>
        <v>#REF!</v>
      </c>
    </row>
    <row r="141" spans="1:16" ht="24.75" customHeight="1" hidden="1">
      <c r="A141" s="428">
        <v>1</v>
      </c>
      <c r="B141" s="429" t="s">
        <v>132</v>
      </c>
      <c r="C141" s="404">
        <f>D141+K141+L141</f>
        <v>1838955</v>
      </c>
      <c r="D141" s="404">
        <f>E141+F141+G141+H141+I141+J141</f>
        <v>121865</v>
      </c>
      <c r="E141" s="406">
        <v>120365</v>
      </c>
      <c r="F141" s="406"/>
      <c r="G141" s="406"/>
      <c r="H141" s="406"/>
      <c r="I141" s="406">
        <v>1500</v>
      </c>
      <c r="J141" s="406"/>
      <c r="K141" s="406">
        <v>1717090</v>
      </c>
      <c r="L141" s="406"/>
      <c r="M141" s="406" t="e">
        <f>'03'!#REF!+'04'!#REF!</f>
        <v>#REF!</v>
      </c>
      <c r="N141" s="406" t="e">
        <f aca="true" t="shared" si="32" ref="N141:N155">C141-M141</f>
        <v>#REF!</v>
      </c>
      <c r="O141" s="406" t="e">
        <f>'07'!#REF!</f>
        <v>#REF!</v>
      </c>
      <c r="P141" s="406" t="e">
        <f aca="true" t="shared" si="33" ref="P141:P155">C141-O141</f>
        <v>#REF!</v>
      </c>
    </row>
    <row r="142" spans="1:16" ht="24.75" customHeight="1" hidden="1">
      <c r="A142" s="428">
        <v>2</v>
      </c>
      <c r="B142" s="429" t="s">
        <v>133</v>
      </c>
      <c r="C142" s="404">
        <f>D142+K142+L142</f>
        <v>1945289</v>
      </c>
      <c r="D142" s="404">
        <f>E142+F142+G142+H142+I142+J142</f>
        <v>32468</v>
      </c>
      <c r="E142" s="406">
        <v>32065</v>
      </c>
      <c r="F142" s="406"/>
      <c r="G142" s="406"/>
      <c r="H142" s="406"/>
      <c r="I142" s="406">
        <v>403</v>
      </c>
      <c r="J142" s="406"/>
      <c r="K142" s="406">
        <v>1702004</v>
      </c>
      <c r="L142" s="406">
        <v>210817</v>
      </c>
      <c r="M142" s="406" t="e">
        <f>'03'!#REF!+'04'!#REF!</f>
        <v>#REF!</v>
      </c>
      <c r="N142" s="406" t="e">
        <f t="shared" si="32"/>
        <v>#REF!</v>
      </c>
      <c r="O142" s="406" t="e">
        <f>'07'!#REF!</f>
        <v>#REF!</v>
      </c>
      <c r="P142" s="406" t="e">
        <f t="shared" si="33"/>
        <v>#REF!</v>
      </c>
    </row>
    <row r="143" spans="1:16" ht="24.75" customHeight="1" hidden="1">
      <c r="A143" s="394" t="s">
        <v>1</v>
      </c>
      <c r="B143" s="395" t="s">
        <v>134</v>
      </c>
      <c r="C143" s="404">
        <f>D143+K143+L143</f>
        <v>400</v>
      </c>
      <c r="D143" s="404">
        <f>E143+F143+G143+H143+I143+J143</f>
        <v>400</v>
      </c>
      <c r="E143" s="406">
        <v>400</v>
      </c>
      <c r="F143" s="406"/>
      <c r="G143" s="406"/>
      <c r="H143" s="406"/>
      <c r="I143" s="406"/>
      <c r="J143" s="406"/>
      <c r="K143" s="406"/>
      <c r="L143" s="406"/>
      <c r="M143" s="406" t="e">
        <f>'03'!#REF!+'04'!#REF!</f>
        <v>#REF!</v>
      </c>
      <c r="N143" s="406" t="e">
        <f t="shared" si="32"/>
        <v>#REF!</v>
      </c>
      <c r="O143" s="406" t="e">
        <f>'07'!#REF!</f>
        <v>#REF!</v>
      </c>
      <c r="P143" s="406" t="e">
        <f t="shared" si="33"/>
        <v>#REF!</v>
      </c>
    </row>
    <row r="144" spans="1:16" ht="24.75" customHeight="1" hidden="1">
      <c r="A144" s="394" t="s">
        <v>9</v>
      </c>
      <c r="B144" s="395" t="s">
        <v>135</v>
      </c>
      <c r="C144" s="404">
        <f>D144+K144+L144</f>
        <v>0</v>
      </c>
      <c r="D144" s="404">
        <f>E144+F144+G144+H144+I144+J144</f>
        <v>0</v>
      </c>
      <c r="E144" s="406"/>
      <c r="F144" s="406"/>
      <c r="G144" s="406"/>
      <c r="H144" s="406"/>
      <c r="I144" s="406"/>
      <c r="J144" s="406"/>
      <c r="K144" s="406"/>
      <c r="L144" s="406"/>
      <c r="M144" s="406" t="e">
        <f>'03'!#REF!+'04'!#REF!</f>
        <v>#REF!</v>
      </c>
      <c r="N144" s="406" t="e">
        <f t="shared" si="32"/>
        <v>#REF!</v>
      </c>
      <c r="O144" s="406" t="e">
        <f>'07'!#REF!</f>
        <v>#REF!</v>
      </c>
      <c r="P144" s="406" t="e">
        <f t="shared" si="33"/>
        <v>#REF!</v>
      </c>
    </row>
    <row r="145" spans="1:16" ht="24.75" customHeight="1" hidden="1">
      <c r="A145" s="394" t="s">
        <v>136</v>
      </c>
      <c r="B145" s="395" t="s">
        <v>137</v>
      </c>
      <c r="C145" s="404">
        <f>C146+C155</f>
        <v>3783844</v>
      </c>
      <c r="D145" s="404">
        <f aca="true" t="shared" si="34" ref="D145:L145">D146+D155</f>
        <v>153933</v>
      </c>
      <c r="E145" s="404">
        <f t="shared" si="34"/>
        <v>152030</v>
      </c>
      <c r="F145" s="404">
        <f t="shared" si="34"/>
        <v>0</v>
      </c>
      <c r="G145" s="404">
        <f t="shared" si="34"/>
        <v>0</v>
      </c>
      <c r="H145" s="404">
        <f t="shared" si="34"/>
        <v>0</v>
      </c>
      <c r="I145" s="404">
        <f t="shared" si="34"/>
        <v>1903</v>
      </c>
      <c r="J145" s="404">
        <f t="shared" si="34"/>
        <v>0</v>
      </c>
      <c r="K145" s="404">
        <f t="shared" si="34"/>
        <v>3419094</v>
      </c>
      <c r="L145" s="404">
        <f t="shared" si="34"/>
        <v>210817</v>
      </c>
      <c r="M145" s="404" t="e">
        <f>'03'!#REF!+'04'!#REF!</f>
        <v>#REF!</v>
      </c>
      <c r="N145" s="404" t="e">
        <f t="shared" si="32"/>
        <v>#REF!</v>
      </c>
      <c r="O145" s="404" t="e">
        <f>'07'!#REF!</f>
        <v>#REF!</v>
      </c>
      <c r="P145" s="404" t="e">
        <f t="shared" si="33"/>
        <v>#REF!</v>
      </c>
    </row>
    <row r="146" spans="1:16" ht="24.75" customHeight="1" hidden="1">
      <c r="A146" s="394" t="s">
        <v>52</v>
      </c>
      <c r="B146" s="430" t="s">
        <v>138</v>
      </c>
      <c r="C146" s="404">
        <f>SUM(C147:C154)</f>
        <v>3570996</v>
      </c>
      <c r="D146" s="404">
        <f aca="true" t="shared" si="35" ref="D146:L146">SUM(D147:D154)</f>
        <v>28994</v>
      </c>
      <c r="E146" s="404">
        <f t="shared" si="35"/>
        <v>28591</v>
      </c>
      <c r="F146" s="404">
        <f t="shared" si="35"/>
        <v>0</v>
      </c>
      <c r="G146" s="404">
        <f t="shared" si="35"/>
        <v>0</v>
      </c>
      <c r="H146" s="404">
        <f t="shared" si="35"/>
        <v>0</v>
      </c>
      <c r="I146" s="404">
        <f t="shared" si="35"/>
        <v>403</v>
      </c>
      <c r="J146" s="404">
        <f t="shared" si="35"/>
        <v>0</v>
      </c>
      <c r="K146" s="404">
        <f t="shared" si="35"/>
        <v>3331185</v>
      </c>
      <c r="L146" s="404">
        <f t="shared" si="35"/>
        <v>210817</v>
      </c>
      <c r="M146" s="404" t="e">
        <f>'03'!#REF!+'04'!#REF!</f>
        <v>#REF!</v>
      </c>
      <c r="N146" s="404" t="e">
        <f t="shared" si="32"/>
        <v>#REF!</v>
      </c>
      <c r="O146" s="404" t="e">
        <f>'07'!#REF!</f>
        <v>#REF!</v>
      </c>
      <c r="P146" s="404" t="e">
        <f t="shared" si="33"/>
        <v>#REF!</v>
      </c>
    </row>
    <row r="147" spans="1:16" ht="24.75" customHeight="1" hidden="1">
      <c r="A147" s="428" t="s">
        <v>54</v>
      </c>
      <c r="B147" s="429" t="s">
        <v>139</v>
      </c>
      <c r="C147" s="404">
        <f aca="true" t="shared" si="36" ref="C147:C155">D147+K147+L147</f>
        <v>151549</v>
      </c>
      <c r="D147" s="404">
        <f aca="true" t="shared" si="37" ref="D147:D155">E147+F147+G147+H147+I147+J147</f>
        <v>12849</v>
      </c>
      <c r="E147" s="406">
        <v>12446</v>
      </c>
      <c r="F147" s="406"/>
      <c r="G147" s="406"/>
      <c r="H147" s="406"/>
      <c r="I147" s="406">
        <v>403</v>
      </c>
      <c r="J147" s="406"/>
      <c r="K147" s="406">
        <v>35200</v>
      </c>
      <c r="L147" s="406">
        <v>103500</v>
      </c>
      <c r="M147" s="406" t="e">
        <f>'03'!#REF!+'04'!#REF!</f>
        <v>#REF!</v>
      </c>
      <c r="N147" s="406" t="e">
        <f t="shared" si="32"/>
        <v>#REF!</v>
      </c>
      <c r="O147" s="406" t="e">
        <f>'07'!#REF!</f>
        <v>#REF!</v>
      </c>
      <c r="P147" s="406" t="e">
        <f t="shared" si="33"/>
        <v>#REF!</v>
      </c>
    </row>
    <row r="148" spans="1:16" ht="24.75" customHeight="1" hidden="1">
      <c r="A148" s="428" t="s">
        <v>55</v>
      </c>
      <c r="B148" s="429" t="s">
        <v>140</v>
      </c>
      <c r="C148" s="404">
        <f t="shared" si="36"/>
        <v>0</v>
      </c>
      <c r="D148" s="404">
        <f t="shared" si="37"/>
        <v>0</v>
      </c>
      <c r="E148" s="406"/>
      <c r="F148" s="406"/>
      <c r="G148" s="406"/>
      <c r="H148" s="406"/>
      <c r="I148" s="406"/>
      <c r="J148" s="406"/>
      <c r="K148" s="406"/>
      <c r="L148" s="406"/>
      <c r="M148" s="406" t="e">
        <f>'03'!#REF!+'04'!#REF!</f>
        <v>#REF!</v>
      </c>
      <c r="N148" s="406" t="e">
        <f t="shared" si="32"/>
        <v>#REF!</v>
      </c>
      <c r="O148" s="406" t="e">
        <f>'07'!#REF!</f>
        <v>#REF!</v>
      </c>
      <c r="P148" s="406" t="e">
        <f t="shared" si="33"/>
        <v>#REF!</v>
      </c>
    </row>
    <row r="149" spans="1:16" ht="24.75" customHeight="1" hidden="1">
      <c r="A149" s="428" t="s">
        <v>141</v>
      </c>
      <c r="B149" s="429" t="s">
        <v>202</v>
      </c>
      <c r="C149" s="404">
        <f t="shared" si="36"/>
        <v>0</v>
      </c>
      <c r="D149" s="404">
        <f t="shared" si="37"/>
        <v>0</v>
      </c>
      <c r="E149" s="406"/>
      <c r="F149" s="406"/>
      <c r="G149" s="406"/>
      <c r="H149" s="406"/>
      <c r="I149" s="406"/>
      <c r="J149" s="406"/>
      <c r="K149" s="406"/>
      <c r="L149" s="406"/>
      <c r="M149" s="406" t="e">
        <f>'03'!#REF!</f>
        <v>#REF!</v>
      </c>
      <c r="N149" s="406" t="e">
        <f t="shared" si="32"/>
        <v>#REF!</v>
      </c>
      <c r="O149" s="406" t="e">
        <f>'07'!#REF!</f>
        <v>#REF!</v>
      </c>
      <c r="P149" s="406" t="e">
        <f t="shared" si="33"/>
        <v>#REF!</v>
      </c>
    </row>
    <row r="150" spans="1:16" ht="24.75" customHeight="1" hidden="1">
      <c r="A150" s="428" t="s">
        <v>143</v>
      </c>
      <c r="B150" s="429" t="s">
        <v>142</v>
      </c>
      <c r="C150" s="404">
        <f t="shared" si="36"/>
        <v>3068593</v>
      </c>
      <c r="D150" s="404">
        <f t="shared" si="37"/>
        <v>0</v>
      </c>
      <c r="E150" s="406"/>
      <c r="F150" s="406"/>
      <c r="G150" s="406"/>
      <c r="H150" s="406"/>
      <c r="I150" s="406"/>
      <c r="J150" s="406"/>
      <c r="K150" s="406">
        <v>3068593</v>
      </c>
      <c r="L150" s="406"/>
      <c r="M150" s="406" t="e">
        <f>'03'!#REF!+'04'!#REF!</f>
        <v>#REF!</v>
      </c>
      <c r="N150" s="406" t="e">
        <f t="shared" si="32"/>
        <v>#REF!</v>
      </c>
      <c r="O150" s="406" t="e">
        <f>'07'!#REF!</f>
        <v>#REF!</v>
      </c>
      <c r="P150" s="406" t="e">
        <f t="shared" si="33"/>
        <v>#REF!</v>
      </c>
    </row>
    <row r="151" spans="1:16" ht="24.75" customHeight="1" hidden="1">
      <c r="A151" s="428" t="s">
        <v>145</v>
      </c>
      <c r="B151" s="429" t="s">
        <v>144</v>
      </c>
      <c r="C151" s="404">
        <f t="shared" si="36"/>
        <v>198092</v>
      </c>
      <c r="D151" s="404">
        <f t="shared" si="37"/>
        <v>0</v>
      </c>
      <c r="E151" s="406"/>
      <c r="F151" s="406"/>
      <c r="G151" s="406"/>
      <c r="H151" s="406"/>
      <c r="I151" s="406"/>
      <c r="J151" s="406"/>
      <c r="K151" s="406">
        <v>198092</v>
      </c>
      <c r="L151" s="406"/>
      <c r="M151" s="406" t="e">
        <f>'03'!#REF!+'04'!#REF!</f>
        <v>#REF!</v>
      </c>
      <c r="N151" s="406" t="e">
        <f t="shared" si="32"/>
        <v>#REF!</v>
      </c>
      <c r="O151" s="406" t="e">
        <f>'07'!#REF!</f>
        <v>#REF!</v>
      </c>
      <c r="P151" s="406" t="e">
        <f t="shared" si="33"/>
        <v>#REF!</v>
      </c>
    </row>
    <row r="152" spans="1:16" ht="24.75" customHeight="1" hidden="1">
      <c r="A152" s="428" t="s">
        <v>147</v>
      </c>
      <c r="B152" s="429" t="s">
        <v>146</v>
      </c>
      <c r="C152" s="404">
        <f t="shared" si="36"/>
        <v>0</v>
      </c>
      <c r="D152" s="404">
        <f t="shared" si="37"/>
        <v>0</v>
      </c>
      <c r="E152" s="406"/>
      <c r="F152" s="406"/>
      <c r="G152" s="406"/>
      <c r="H152" s="406"/>
      <c r="I152" s="406"/>
      <c r="J152" s="406"/>
      <c r="K152" s="406"/>
      <c r="L152" s="406"/>
      <c r="M152" s="406" t="e">
        <f>'03'!#REF!+'04'!#REF!</f>
        <v>#REF!</v>
      </c>
      <c r="N152" s="406" t="e">
        <f t="shared" si="32"/>
        <v>#REF!</v>
      </c>
      <c r="O152" s="406" t="e">
        <f>'07'!#REF!</f>
        <v>#REF!</v>
      </c>
      <c r="P152" s="406" t="e">
        <f t="shared" si="33"/>
        <v>#REF!</v>
      </c>
    </row>
    <row r="153" spans="1:16" ht="24.75" customHeight="1" hidden="1">
      <c r="A153" s="428" t="s">
        <v>149</v>
      </c>
      <c r="B153" s="431" t="s">
        <v>148</v>
      </c>
      <c r="C153" s="404">
        <f t="shared" si="36"/>
        <v>0</v>
      </c>
      <c r="D153" s="404">
        <f t="shared" si="37"/>
        <v>0</v>
      </c>
      <c r="E153" s="406"/>
      <c r="F153" s="406"/>
      <c r="G153" s="406"/>
      <c r="H153" s="406"/>
      <c r="I153" s="406"/>
      <c r="J153" s="406"/>
      <c r="K153" s="406"/>
      <c r="L153" s="406"/>
      <c r="M153" s="406" t="e">
        <f>'03'!#REF!+'04'!#REF!</f>
        <v>#REF!</v>
      </c>
      <c r="N153" s="406" t="e">
        <f t="shared" si="32"/>
        <v>#REF!</v>
      </c>
      <c r="O153" s="406" t="e">
        <f>'07'!#REF!</f>
        <v>#REF!</v>
      </c>
      <c r="P153" s="406" t="e">
        <f t="shared" si="33"/>
        <v>#REF!</v>
      </c>
    </row>
    <row r="154" spans="1:16" ht="24.75" customHeight="1" hidden="1">
      <c r="A154" s="428" t="s">
        <v>186</v>
      </c>
      <c r="B154" s="429" t="s">
        <v>150</v>
      </c>
      <c r="C154" s="404">
        <f t="shared" si="36"/>
        <v>152762</v>
      </c>
      <c r="D154" s="404">
        <f t="shared" si="37"/>
        <v>16145</v>
      </c>
      <c r="E154" s="406">
        <v>16145</v>
      </c>
      <c r="F154" s="406"/>
      <c r="G154" s="406"/>
      <c r="H154" s="406"/>
      <c r="I154" s="406"/>
      <c r="J154" s="406"/>
      <c r="K154" s="406">
        <v>29300</v>
      </c>
      <c r="L154" s="406">
        <v>107317</v>
      </c>
      <c r="M154" s="406" t="e">
        <f>'03'!#REF!+'04'!#REF!</f>
        <v>#REF!</v>
      </c>
      <c r="N154" s="406" t="e">
        <f t="shared" si="32"/>
        <v>#REF!</v>
      </c>
      <c r="O154" s="406" t="e">
        <f>'07'!#REF!</f>
        <v>#REF!</v>
      </c>
      <c r="P154" s="406" t="e">
        <f t="shared" si="33"/>
        <v>#REF!</v>
      </c>
    </row>
    <row r="155" spans="1:16" ht="24.75" customHeight="1" hidden="1">
      <c r="A155" s="394" t="s">
        <v>53</v>
      </c>
      <c r="B155" s="395" t="s">
        <v>151</v>
      </c>
      <c r="C155" s="404">
        <f t="shared" si="36"/>
        <v>212848</v>
      </c>
      <c r="D155" s="404">
        <f t="shared" si="37"/>
        <v>124939</v>
      </c>
      <c r="E155" s="406">
        <v>123439</v>
      </c>
      <c r="F155" s="406"/>
      <c r="G155" s="406"/>
      <c r="H155" s="406"/>
      <c r="I155" s="406">
        <v>1500</v>
      </c>
      <c r="J155" s="406"/>
      <c r="K155" s="406">
        <v>87909</v>
      </c>
      <c r="L155" s="406"/>
      <c r="M155" s="404" t="e">
        <f>'03'!#REF!+'04'!#REF!</f>
        <v>#REF!</v>
      </c>
      <c r="N155" s="404" t="e">
        <f t="shared" si="32"/>
        <v>#REF!</v>
      </c>
      <c r="O155" s="404" t="e">
        <f>'07'!#REF!</f>
        <v>#REF!</v>
      </c>
      <c r="P155" s="404" t="e">
        <f t="shared" si="33"/>
        <v>#REF!</v>
      </c>
    </row>
    <row r="156" spans="1:16" ht="24.75" customHeight="1" hidden="1">
      <c r="A156" s="453" t="s">
        <v>76</v>
      </c>
      <c r="B156" s="478" t="s">
        <v>215</v>
      </c>
      <c r="C156" s="462">
        <f>(C147+C148+C149)/C146</f>
        <v>0.04243886019474679</v>
      </c>
      <c r="D156" s="396">
        <f aca="true" t="shared" si="38" ref="D156:L156">(D147+D148+D149)/D146</f>
        <v>0.443160653928399</v>
      </c>
      <c r="E156" s="412">
        <f t="shared" si="38"/>
        <v>0.43531181140918473</v>
      </c>
      <c r="F156" s="412" t="e">
        <f t="shared" si="38"/>
        <v>#DIV/0!</v>
      </c>
      <c r="G156" s="412" t="e">
        <f t="shared" si="38"/>
        <v>#DIV/0!</v>
      </c>
      <c r="H156" s="412" t="e">
        <f t="shared" si="38"/>
        <v>#DIV/0!</v>
      </c>
      <c r="I156" s="412">
        <f t="shared" si="38"/>
        <v>1</v>
      </c>
      <c r="J156" s="412" t="e">
        <f t="shared" si="38"/>
        <v>#DIV/0!</v>
      </c>
      <c r="K156" s="412">
        <f t="shared" si="38"/>
        <v>0.010566810309244308</v>
      </c>
      <c r="L156" s="412">
        <f t="shared" si="38"/>
        <v>0.4909471247574911</v>
      </c>
      <c r="M156" s="422"/>
      <c r="N156" s="479"/>
      <c r="O156" s="479"/>
      <c r="P156" s="479"/>
    </row>
    <row r="157" spans="1:16" ht="17.25" hidden="1">
      <c r="A157" s="1537" t="s">
        <v>498</v>
      </c>
      <c r="B157" s="1537"/>
      <c r="C157" s="406">
        <f>C140-C143-C144-C145</f>
        <v>0</v>
      </c>
      <c r="D157" s="406">
        <f aca="true" t="shared" si="39" ref="D157:L157">D140-D143-D144-D145</f>
        <v>0</v>
      </c>
      <c r="E157" s="406">
        <f t="shared" si="39"/>
        <v>0</v>
      </c>
      <c r="F157" s="406">
        <f t="shared" si="39"/>
        <v>0</v>
      </c>
      <c r="G157" s="406">
        <f t="shared" si="39"/>
        <v>0</v>
      </c>
      <c r="H157" s="406">
        <f t="shared" si="39"/>
        <v>0</v>
      </c>
      <c r="I157" s="406">
        <f t="shared" si="39"/>
        <v>0</v>
      </c>
      <c r="J157" s="406">
        <f t="shared" si="39"/>
        <v>0</v>
      </c>
      <c r="K157" s="406">
        <f t="shared" si="39"/>
        <v>0</v>
      </c>
      <c r="L157" s="406">
        <f t="shared" si="39"/>
        <v>0</v>
      </c>
      <c r="M157" s="422"/>
      <c r="N157" s="479"/>
      <c r="O157" s="479"/>
      <c r="P157" s="479"/>
    </row>
    <row r="158" spans="1:16" ht="17.25" hidden="1">
      <c r="A158" s="1538" t="s">
        <v>499</v>
      </c>
      <c r="B158" s="1538"/>
      <c r="C158" s="406">
        <f>C145-C146-C155</f>
        <v>0</v>
      </c>
      <c r="D158" s="406">
        <f aca="true" t="shared" si="40" ref="D158:L158">D145-D146-D155</f>
        <v>0</v>
      </c>
      <c r="E158" s="406">
        <f t="shared" si="40"/>
        <v>0</v>
      </c>
      <c r="F158" s="406">
        <f t="shared" si="40"/>
        <v>0</v>
      </c>
      <c r="G158" s="406">
        <f t="shared" si="40"/>
        <v>0</v>
      </c>
      <c r="H158" s="406">
        <f t="shared" si="40"/>
        <v>0</v>
      </c>
      <c r="I158" s="406">
        <f t="shared" si="40"/>
        <v>0</v>
      </c>
      <c r="J158" s="406">
        <f t="shared" si="40"/>
        <v>0</v>
      </c>
      <c r="K158" s="406">
        <f t="shared" si="40"/>
        <v>0</v>
      </c>
      <c r="L158" s="406">
        <f t="shared" si="40"/>
        <v>0</v>
      </c>
      <c r="M158" s="422"/>
      <c r="N158" s="479"/>
      <c r="O158" s="479"/>
      <c r="P158" s="479"/>
    </row>
    <row r="159" spans="1:16" ht="18.75" hidden="1">
      <c r="A159" s="464"/>
      <c r="B159" s="480" t="s">
        <v>518</v>
      </c>
      <c r="C159" s="480"/>
      <c r="D159" s="454"/>
      <c r="E159" s="454"/>
      <c r="F159" s="454"/>
      <c r="G159" s="1564" t="s">
        <v>518</v>
      </c>
      <c r="H159" s="1564"/>
      <c r="I159" s="1564"/>
      <c r="J159" s="1564"/>
      <c r="K159" s="1564"/>
      <c r="L159" s="1564"/>
      <c r="M159" s="467"/>
      <c r="N159" s="467"/>
      <c r="O159" s="467"/>
      <c r="P159" s="467"/>
    </row>
    <row r="160" spans="1:16" ht="18.75" hidden="1">
      <c r="A160" s="1565" t="s">
        <v>4</v>
      </c>
      <c r="B160" s="1565"/>
      <c r="C160" s="1565"/>
      <c r="D160" s="1565"/>
      <c r="E160" s="454"/>
      <c r="F160" s="454"/>
      <c r="G160" s="481"/>
      <c r="H160" s="1566" t="s">
        <v>519</v>
      </c>
      <c r="I160" s="1566"/>
      <c r="J160" s="1566"/>
      <c r="K160" s="1566"/>
      <c r="L160" s="1566"/>
      <c r="M160" s="467"/>
      <c r="N160" s="467"/>
      <c r="O160" s="467"/>
      <c r="P160" s="467"/>
    </row>
    <row r="161" ht="15" hidden="1"/>
    <row r="162" ht="15" hidden="1"/>
    <row r="163" ht="15" hidden="1"/>
    <row r="164" ht="15" hidden="1"/>
    <row r="165" ht="15" hidden="1"/>
    <row r="166" ht="15" hidden="1"/>
    <row r="167" ht="15" hidden="1"/>
    <row r="168" ht="15" hidden="1"/>
    <row r="169" ht="15" hidden="1"/>
    <row r="170" ht="15" hidden="1"/>
    <row r="171" spans="1:13" ht="16.5" hidden="1">
      <c r="A171" s="1549" t="s">
        <v>33</v>
      </c>
      <c r="B171" s="1550"/>
      <c r="C171" s="463"/>
      <c r="D171" s="1526" t="s">
        <v>79</v>
      </c>
      <c r="E171" s="1526"/>
      <c r="F171" s="1526"/>
      <c r="G171" s="1526"/>
      <c r="H171" s="1526"/>
      <c r="I171" s="1526"/>
      <c r="J171" s="1526"/>
      <c r="K171" s="1551"/>
      <c r="L171" s="1551"/>
      <c r="M171" s="467"/>
    </row>
    <row r="172" spans="1:13" ht="16.5" hidden="1">
      <c r="A172" s="1517" t="s">
        <v>342</v>
      </c>
      <c r="B172" s="1517"/>
      <c r="C172" s="1517"/>
      <c r="D172" s="1526" t="s">
        <v>216</v>
      </c>
      <c r="E172" s="1526"/>
      <c r="F172" s="1526"/>
      <c r="G172" s="1526"/>
      <c r="H172" s="1526"/>
      <c r="I172" s="1526"/>
      <c r="J172" s="1526"/>
      <c r="K172" s="1563" t="s">
        <v>508</v>
      </c>
      <c r="L172" s="1563"/>
      <c r="M172" s="464"/>
    </row>
    <row r="173" spans="1:13" ht="16.5" hidden="1">
      <c r="A173" s="1517" t="s">
        <v>343</v>
      </c>
      <c r="B173" s="1517"/>
      <c r="C173" s="413"/>
      <c r="D173" s="1530" t="s">
        <v>11</v>
      </c>
      <c r="E173" s="1530"/>
      <c r="F173" s="1530"/>
      <c r="G173" s="1530"/>
      <c r="H173" s="1530"/>
      <c r="I173" s="1530"/>
      <c r="J173" s="1530"/>
      <c r="K173" s="1551"/>
      <c r="L173" s="1551"/>
      <c r="M173" s="467"/>
    </row>
    <row r="174" spans="1:13" ht="15.75" hidden="1">
      <c r="A174" s="433" t="s">
        <v>119</v>
      </c>
      <c r="B174" s="433"/>
      <c r="C174" s="418"/>
      <c r="D174" s="406"/>
      <c r="E174" s="406">
        <v>885923</v>
      </c>
      <c r="F174" s="406"/>
      <c r="G174" s="406">
        <v>131438</v>
      </c>
      <c r="H174" s="406"/>
      <c r="I174" s="406">
        <v>900603</v>
      </c>
      <c r="J174" s="406"/>
      <c r="K174" s="406">
        <v>4102035.7</v>
      </c>
      <c r="L174" s="406"/>
      <c r="M174" s="464"/>
    </row>
    <row r="175" spans="1:13" ht="15.75" hidden="1">
      <c r="A175" s="468"/>
      <c r="B175" s="468" t="s">
        <v>94</v>
      </c>
      <c r="C175" s="468"/>
      <c r="D175" s="468"/>
      <c r="E175" s="468"/>
      <c r="F175" s="468"/>
      <c r="G175" s="468"/>
      <c r="H175" s="468"/>
      <c r="I175" s="468"/>
      <c r="J175" s="468"/>
      <c r="K175" s="1552"/>
      <c r="L175" s="1552"/>
      <c r="M175" s="464"/>
    </row>
    <row r="176" spans="1:13" ht="15.75" hidden="1">
      <c r="A176" s="1245" t="s">
        <v>71</v>
      </c>
      <c r="B176" s="1246"/>
      <c r="C176" s="1531" t="s">
        <v>38</v>
      </c>
      <c r="D176" s="1553" t="s">
        <v>339</v>
      </c>
      <c r="E176" s="1553"/>
      <c r="F176" s="1553"/>
      <c r="G176" s="1553"/>
      <c r="H176" s="1553"/>
      <c r="I176" s="1553"/>
      <c r="J176" s="1553"/>
      <c r="K176" s="1553"/>
      <c r="L176" s="1553"/>
      <c r="M176" s="467"/>
    </row>
    <row r="177" spans="1:13" ht="15.75" hidden="1">
      <c r="A177" s="1247"/>
      <c r="B177" s="1248"/>
      <c r="C177" s="1531"/>
      <c r="D177" s="1568" t="s">
        <v>207</v>
      </c>
      <c r="E177" s="1569"/>
      <c r="F177" s="1569"/>
      <c r="G177" s="1569"/>
      <c r="H177" s="1569"/>
      <c r="I177" s="1569"/>
      <c r="J177" s="1570"/>
      <c r="K177" s="1571" t="s">
        <v>208</v>
      </c>
      <c r="L177" s="1571" t="s">
        <v>209</v>
      </c>
      <c r="M177" s="464"/>
    </row>
    <row r="178" spans="1:13" ht="15.75" hidden="1">
      <c r="A178" s="1247"/>
      <c r="B178" s="1248"/>
      <c r="C178" s="1531"/>
      <c r="D178" s="1576" t="s">
        <v>37</v>
      </c>
      <c r="E178" s="1577" t="s">
        <v>7</v>
      </c>
      <c r="F178" s="1578"/>
      <c r="G178" s="1578"/>
      <c r="H178" s="1578"/>
      <c r="I178" s="1578"/>
      <c r="J178" s="1579"/>
      <c r="K178" s="1572"/>
      <c r="L178" s="1574"/>
      <c r="M178" s="464"/>
    </row>
    <row r="179" spans="1:16" ht="15.75" hidden="1">
      <c r="A179" s="1535"/>
      <c r="B179" s="1536"/>
      <c r="C179" s="1531"/>
      <c r="D179" s="1576"/>
      <c r="E179" s="470" t="s">
        <v>210</v>
      </c>
      <c r="F179" s="470" t="s">
        <v>211</v>
      </c>
      <c r="G179" s="470" t="s">
        <v>212</v>
      </c>
      <c r="H179" s="470" t="s">
        <v>213</v>
      </c>
      <c r="I179" s="470" t="s">
        <v>344</v>
      </c>
      <c r="J179" s="470" t="s">
        <v>214</v>
      </c>
      <c r="K179" s="1573"/>
      <c r="L179" s="1575"/>
      <c r="M179" s="1529" t="s">
        <v>500</v>
      </c>
      <c r="N179" s="1529"/>
      <c r="O179" s="1529"/>
      <c r="P179" s="1529"/>
    </row>
    <row r="180" spans="1:16" ht="15" hidden="1">
      <c r="A180" s="1533" t="s">
        <v>6</v>
      </c>
      <c r="B180" s="1534"/>
      <c r="C180" s="471">
        <v>1</v>
      </c>
      <c r="D180" s="472">
        <v>2</v>
      </c>
      <c r="E180" s="471">
        <v>3</v>
      </c>
      <c r="F180" s="472">
        <v>4</v>
      </c>
      <c r="G180" s="471">
        <v>5</v>
      </c>
      <c r="H180" s="472">
        <v>6</v>
      </c>
      <c r="I180" s="471">
        <v>7</v>
      </c>
      <c r="J180" s="472">
        <v>8</v>
      </c>
      <c r="K180" s="471">
        <v>9</v>
      </c>
      <c r="L180" s="472">
        <v>10</v>
      </c>
      <c r="M180" s="473" t="s">
        <v>501</v>
      </c>
      <c r="N180" s="474" t="s">
        <v>504</v>
      </c>
      <c r="O180" s="474" t="s">
        <v>502</v>
      </c>
      <c r="P180" s="474" t="s">
        <v>503</v>
      </c>
    </row>
    <row r="181" spans="1:16" ht="24.75" customHeight="1" hidden="1">
      <c r="A181" s="425" t="s">
        <v>0</v>
      </c>
      <c r="B181" s="426" t="s">
        <v>131</v>
      </c>
      <c r="C181" s="404">
        <f>C182+C183</f>
        <v>18825447</v>
      </c>
      <c r="D181" s="404">
        <f aca="true" t="shared" si="41" ref="D181:L181">D182+D183</f>
        <v>2403583</v>
      </c>
      <c r="E181" s="404">
        <f t="shared" si="41"/>
        <v>1170412</v>
      </c>
      <c r="F181" s="404">
        <f t="shared" si="41"/>
        <v>0</v>
      </c>
      <c r="G181" s="404">
        <f t="shared" si="41"/>
        <v>131438</v>
      </c>
      <c r="H181" s="404">
        <f t="shared" si="41"/>
        <v>651569</v>
      </c>
      <c r="I181" s="404">
        <f t="shared" si="41"/>
        <v>276284</v>
      </c>
      <c r="J181" s="404">
        <f t="shared" si="41"/>
        <v>173880</v>
      </c>
      <c r="K181" s="404">
        <f t="shared" si="41"/>
        <v>2849581</v>
      </c>
      <c r="L181" s="404">
        <f t="shared" si="41"/>
        <v>13572283</v>
      </c>
      <c r="M181" s="404" t="e">
        <f>'03'!#REF!+'04'!#REF!</f>
        <v>#REF!</v>
      </c>
      <c r="N181" s="404" t="e">
        <f>C181-M181</f>
        <v>#REF!</v>
      </c>
      <c r="O181" s="404" t="e">
        <f>'07'!#REF!</f>
        <v>#REF!</v>
      </c>
      <c r="P181" s="404" t="e">
        <f>C181-O181</f>
        <v>#REF!</v>
      </c>
    </row>
    <row r="182" spans="1:16" ht="24.75" customHeight="1" hidden="1">
      <c r="A182" s="428">
        <v>1</v>
      </c>
      <c r="B182" s="429" t="s">
        <v>132</v>
      </c>
      <c r="C182" s="404">
        <f>D182+K182+L182</f>
        <v>6020000</v>
      </c>
      <c r="D182" s="404">
        <f>E182+F182+G182+H182+I182+J182</f>
        <v>1917964</v>
      </c>
      <c r="E182" s="406">
        <v>885923</v>
      </c>
      <c r="F182" s="406">
        <v>0</v>
      </c>
      <c r="G182" s="406">
        <v>131438</v>
      </c>
      <c r="H182" s="406">
        <v>649319</v>
      </c>
      <c r="I182" s="406">
        <v>251284</v>
      </c>
      <c r="J182" s="406">
        <v>0</v>
      </c>
      <c r="K182" s="406">
        <v>442933</v>
      </c>
      <c r="L182" s="406">
        <v>3659103</v>
      </c>
      <c r="M182" s="406" t="e">
        <f>'03'!#REF!+'04'!#REF!</f>
        <v>#REF!</v>
      </c>
      <c r="N182" s="406" t="e">
        <f aca="true" t="shared" si="42" ref="N182:N196">C182-M182</f>
        <v>#REF!</v>
      </c>
      <c r="O182" s="406" t="e">
        <f>'07'!#REF!</f>
        <v>#REF!</v>
      </c>
      <c r="P182" s="406" t="e">
        <f aca="true" t="shared" si="43" ref="P182:P196">C182-O182</f>
        <v>#REF!</v>
      </c>
    </row>
    <row r="183" spans="1:16" ht="24.75" customHeight="1" hidden="1">
      <c r="A183" s="428">
        <v>2</v>
      </c>
      <c r="B183" s="429" t="s">
        <v>133</v>
      </c>
      <c r="C183" s="404">
        <f>D183+K183+L183</f>
        <v>12805447</v>
      </c>
      <c r="D183" s="404">
        <f>E183+F183+G183+H183+I183+J183</f>
        <v>485619</v>
      </c>
      <c r="E183" s="406">
        <v>284489</v>
      </c>
      <c r="F183" s="406">
        <v>0</v>
      </c>
      <c r="G183" s="406">
        <v>0</v>
      </c>
      <c r="H183" s="406">
        <v>2250</v>
      </c>
      <c r="I183" s="406">
        <v>25000</v>
      </c>
      <c r="J183" s="406">
        <v>173880</v>
      </c>
      <c r="K183" s="406">
        <v>2406648</v>
      </c>
      <c r="L183" s="406">
        <v>9913180</v>
      </c>
      <c r="M183" s="406" t="e">
        <f>'03'!#REF!+'04'!#REF!</f>
        <v>#REF!</v>
      </c>
      <c r="N183" s="406" t="e">
        <f t="shared" si="42"/>
        <v>#REF!</v>
      </c>
      <c r="O183" s="406" t="e">
        <f>'07'!#REF!</f>
        <v>#REF!</v>
      </c>
      <c r="P183" s="406" t="e">
        <f t="shared" si="43"/>
        <v>#REF!</v>
      </c>
    </row>
    <row r="184" spans="1:16" ht="24.75" customHeight="1" hidden="1">
      <c r="A184" s="394" t="s">
        <v>1</v>
      </c>
      <c r="B184" s="395" t="s">
        <v>134</v>
      </c>
      <c r="C184" s="404">
        <f>D184+K184+L184</f>
        <v>111980</v>
      </c>
      <c r="D184" s="404">
        <f>E184+F184+G184+H184+I184+J184</f>
        <v>10580</v>
      </c>
      <c r="E184" s="406">
        <v>10580</v>
      </c>
      <c r="F184" s="406">
        <v>0</v>
      </c>
      <c r="G184" s="406">
        <v>0</v>
      </c>
      <c r="H184" s="406">
        <v>0</v>
      </c>
      <c r="I184" s="406">
        <v>0</v>
      </c>
      <c r="J184" s="406">
        <v>0</v>
      </c>
      <c r="K184" s="406">
        <v>0</v>
      </c>
      <c r="L184" s="406">
        <v>101400</v>
      </c>
      <c r="M184" s="406" t="e">
        <f>'03'!#REF!+'04'!#REF!</f>
        <v>#REF!</v>
      </c>
      <c r="N184" s="406" t="e">
        <f t="shared" si="42"/>
        <v>#REF!</v>
      </c>
      <c r="O184" s="406" t="e">
        <f>'07'!#REF!</f>
        <v>#REF!</v>
      </c>
      <c r="P184" s="406" t="e">
        <f t="shared" si="43"/>
        <v>#REF!</v>
      </c>
    </row>
    <row r="185" spans="1:16" ht="24.75" customHeight="1" hidden="1">
      <c r="A185" s="394" t="s">
        <v>9</v>
      </c>
      <c r="B185" s="395" t="s">
        <v>135</v>
      </c>
      <c r="C185" s="404">
        <f>D185+K185+L185</f>
        <v>0</v>
      </c>
      <c r="D185" s="404">
        <f>E185+F185+G185+H185+I185+J185</f>
        <v>0</v>
      </c>
      <c r="E185" s="406">
        <v>0</v>
      </c>
      <c r="F185" s="406">
        <v>0</v>
      </c>
      <c r="G185" s="406">
        <v>0</v>
      </c>
      <c r="H185" s="406">
        <v>0</v>
      </c>
      <c r="I185" s="406">
        <v>0</v>
      </c>
      <c r="J185" s="406">
        <v>0</v>
      </c>
      <c r="K185" s="406">
        <v>0</v>
      </c>
      <c r="L185" s="406">
        <v>0</v>
      </c>
      <c r="M185" s="406" t="e">
        <f>'03'!#REF!+'04'!#REF!</f>
        <v>#REF!</v>
      </c>
      <c r="N185" s="406" t="e">
        <f t="shared" si="42"/>
        <v>#REF!</v>
      </c>
      <c r="O185" s="406" t="e">
        <f>'07'!#REF!</f>
        <v>#REF!</v>
      </c>
      <c r="P185" s="406" t="e">
        <f t="shared" si="43"/>
        <v>#REF!</v>
      </c>
    </row>
    <row r="186" spans="1:16" ht="24.75" customHeight="1" hidden="1">
      <c r="A186" s="394" t="s">
        <v>136</v>
      </c>
      <c r="B186" s="395" t="s">
        <v>137</v>
      </c>
      <c r="C186" s="404">
        <f>C187+C196</f>
        <v>18713467</v>
      </c>
      <c r="D186" s="404">
        <f aca="true" t="shared" si="44" ref="D186:L186">D187+D196</f>
        <v>2393003</v>
      </c>
      <c r="E186" s="404">
        <f t="shared" si="44"/>
        <v>1159832</v>
      </c>
      <c r="F186" s="404">
        <f t="shared" si="44"/>
        <v>0</v>
      </c>
      <c r="G186" s="404">
        <f t="shared" si="44"/>
        <v>131438</v>
      </c>
      <c r="H186" s="404">
        <f t="shared" si="44"/>
        <v>651569</v>
      </c>
      <c r="I186" s="404">
        <f t="shared" si="44"/>
        <v>276284</v>
      </c>
      <c r="J186" s="404">
        <f t="shared" si="44"/>
        <v>173880</v>
      </c>
      <c r="K186" s="404">
        <f t="shared" si="44"/>
        <v>2849581</v>
      </c>
      <c r="L186" s="404">
        <f t="shared" si="44"/>
        <v>13470883</v>
      </c>
      <c r="M186" s="404" t="e">
        <f>'03'!#REF!+'04'!#REF!</f>
        <v>#REF!</v>
      </c>
      <c r="N186" s="404" t="e">
        <f t="shared" si="42"/>
        <v>#REF!</v>
      </c>
      <c r="O186" s="404" t="e">
        <f>'07'!#REF!</f>
        <v>#REF!</v>
      </c>
      <c r="P186" s="404" t="e">
        <f t="shared" si="43"/>
        <v>#REF!</v>
      </c>
    </row>
    <row r="187" spans="1:16" ht="24.75" customHeight="1" hidden="1">
      <c r="A187" s="394" t="s">
        <v>52</v>
      </c>
      <c r="B187" s="430" t="s">
        <v>138</v>
      </c>
      <c r="C187" s="404">
        <f>SUM(C188:C195)</f>
        <v>16624101</v>
      </c>
      <c r="D187" s="404">
        <f aca="true" t="shared" si="45" ref="D187:L187">SUM(D188:D195)</f>
        <v>670472</v>
      </c>
      <c r="E187" s="404">
        <f t="shared" si="45"/>
        <v>468342</v>
      </c>
      <c r="F187" s="404">
        <f t="shared" si="45"/>
        <v>0</v>
      </c>
      <c r="G187" s="404">
        <f t="shared" si="45"/>
        <v>1000</v>
      </c>
      <c r="H187" s="404">
        <f t="shared" si="45"/>
        <v>2250</v>
      </c>
      <c r="I187" s="404">
        <f t="shared" si="45"/>
        <v>25000</v>
      </c>
      <c r="J187" s="404">
        <f t="shared" si="45"/>
        <v>173880</v>
      </c>
      <c r="K187" s="404">
        <f t="shared" si="45"/>
        <v>2849581</v>
      </c>
      <c r="L187" s="404">
        <f t="shared" si="45"/>
        <v>13104048</v>
      </c>
      <c r="M187" s="404" t="e">
        <f>'03'!#REF!+'04'!#REF!</f>
        <v>#REF!</v>
      </c>
      <c r="N187" s="404" t="e">
        <f t="shared" si="42"/>
        <v>#REF!</v>
      </c>
      <c r="O187" s="404" t="e">
        <f>'07'!#REF!</f>
        <v>#REF!</v>
      </c>
      <c r="P187" s="404" t="e">
        <f t="shared" si="43"/>
        <v>#REF!</v>
      </c>
    </row>
    <row r="188" spans="1:16" ht="24.75" customHeight="1" hidden="1">
      <c r="A188" s="428" t="s">
        <v>54</v>
      </c>
      <c r="B188" s="429" t="s">
        <v>139</v>
      </c>
      <c r="C188" s="404">
        <f aca="true" t="shared" si="46" ref="C188:C196">D188+K188+L188</f>
        <v>2436657</v>
      </c>
      <c r="D188" s="404">
        <f aca="true" t="shared" si="47" ref="D188:D196">E188+F188+G188+H188+I188+J188</f>
        <v>272204</v>
      </c>
      <c r="E188" s="406">
        <v>124700</v>
      </c>
      <c r="F188" s="406">
        <v>0</v>
      </c>
      <c r="G188" s="406">
        <v>1000</v>
      </c>
      <c r="H188" s="406">
        <v>2250</v>
      </c>
      <c r="I188" s="406">
        <v>5000</v>
      </c>
      <c r="J188" s="406">
        <v>139254</v>
      </c>
      <c r="K188" s="406">
        <v>34708</v>
      </c>
      <c r="L188" s="406">
        <v>2129745</v>
      </c>
      <c r="M188" s="406" t="e">
        <f>'03'!#REF!+'04'!#REF!</f>
        <v>#REF!</v>
      </c>
      <c r="N188" s="406" t="e">
        <f t="shared" si="42"/>
        <v>#REF!</v>
      </c>
      <c r="O188" s="406" t="e">
        <f>'07'!#REF!</f>
        <v>#REF!</v>
      </c>
      <c r="P188" s="406" t="e">
        <f t="shared" si="43"/>
        <v>#REF!</v>
      </c>
    </row>
    <row r="189" spans="1:16" ht="24.75" customHeight="1" hidden="1">
      <c r="A189" s="428" t="s">
        <v>55</v>
      </c>
      <c r="B189" s="429" t="s">
        <v>140</v>
      </c>
      <c r="C189" s="404">
        <f t="shared" si="46"/>
        <v>418123</v>
      </c>
      <c r="D189" s="404">
        <f t="shared" si="47"/>
        <v>200</v>
      </c>
      <c r="E189" s="406">
        <v>200</v>
      </c>
      <c r="F189" s="406">
        <v>0</v>
      </c>
      <c r="G189" s="406">
        <v>0</v>
      </c>
      <c r="H189" s="406">
        <v>0</v>
      </c>
      <c r="I189" s="406">
        <v>0</v>
      </c>
      <c r="J189" s="406">
        <v>0</v>
      </c>
      <c r="K189" s="406">
        <v>0</v>
      </c>
      <c r="L189" s="406">
        <v>417923</v>
      </c>
      <c r="M189" s="406" t="e">
        <f>'03'!#REF!+'04'!#REF!</f>
        <v>#REF!</v>
      </c>
      <c r="N189" s="406" t="e">
        <f t="shared" si="42"/>
        <v>#REF!</v>
      </c>
      <c r="O189" s="406" t="e">
        <f>'07'!#REF!</f>
        <v>#REF!</v>
      </c>
      <c r="P189" s="406" t="e">
        <f t="shared" si="43"/>
        <v>#REF!</v>
      </c>
    </row>
    <row r="190" spans="1:16" ht="24.75" customHeight="1" hidden="1">
      <c r="A190" s="428" t="s">
        <v>141</v>
      </c>
      <c r="B190" s="429" t="s">
        <v>202</v>
      </c>
      <c r="C190" s="404">
        <f t="shared" si="46"/>
        <v>0</v>
      </c>
      <c r="D190" s="404">
        <f t="shared" si="47"/>
        <v>0</v>
      </c>
      <c r="E190" s="406">
        <v>0</v>
      </c>
      <c r="F190" s="406">
        <v>0</v>
      </c>
      <c r="G190" s="406">
        <v>0</v>
      </c>
      <c r="H190" s="406">
        <v>0</v>
      </c>
      <c r="I190" s="406">
        <v>0</v>
      </c>
      <c r="J190" s="406">
        <v>0</v>
      </c>
      <c r="K190" s="406">
        <v>0</v>
      </c>
      <c r="L190" s="406">
        <v>0</v>
      </c>
      <c r="M190" s="406" t="e">
        <f>'03'!#REF!</f>
        <v>#REF!</v>
      </c>
      <c r="N190" s="406" t="e">
        <f t="shared" si="42"/>
        <v>#REF!</v>
      </c>
      <c r="O190" s="406" t="e">
        <f>'07'!#REF!</f>
        <v>#REF!</v>
      </c>
      <c r="P190" s="406" t="e">
        <f t="shared" si="43"/>
        <v>#REF!</v>
      </c>
    </row>
    <row r="191" spans="1:16" ht="24.75" customHeight="1" hidden="1">
      <c r="A191" s="428" t="s">
        <v>143</v>
      </c>
      <c r="B191" s="429" t="s">
        <v>142</v>
      </c>
      <c r="C191" s="404">
        <f t="shared" si="46"/>
        <v>13654985</v>
      </c>
      <c r="D191" s="404">
        <f t="shared" si="47"/>
        <v>398068</v>
      </c>
      <c r="E191" s="406">
        <v>343442</v>
      </c>
      <c r="F191" s="406">
        <v>0</v>
      </c>
      <c r="G191" s="406">
        <v>0</v>
      </c>
      <c r="H191" s="406">
        <v>0</v>
      </c>
      <c r="I191" s="406">
        <v>20000</v>
      </c>
      <c r="J191" s="406">
        <v>34626</v>
      </c>
      <c r="K191" s="406">
        <v>2814873</v>
      </c>
      <c r="L191" s="406">
        <v>10442044</v>
      </c>
      <c r="M191" s="406" t="e">
        <f>'03'!#REF!+'04'!#REF!</f>
        <v>#REF!</v>
      </c>
      <c r="N191" s="406" t="e">
        <f t="shared" si="42"/>
        <v>#REF!</v>
      </c>
      <c r="O191" s="406" t="e">
        <f>'07'!#REF!</f>
        <v>#REF!</v>
      </c>
      <c r="P191" s="406" t="e">
        <f t="shared" si="43"/>
        <v>#REF!</v>
      </c>
    </row>
    <row r="192" spans="1:16" ht="24.75" customHeight="1" hidden="1">
      <c r="A192" s="428" t="s">
        <v>145</v>
      </c>
      <c r="B192" s="429" t="s">
        <v>144</v>
      </c>
      <c r="C192" s="404">
        <f t="shared" si="46"/>
        <v>0</v>
      </c>
      <c r="D192" s="404">
        <f t="shared" si="47"/>
        <v>0</v>
      </c>
      <c r="E192" s="406">
        <v>0</v>
      </c>
      <c r="F192" s="406">
        <v>0</v>
      </c>
      <c r="G192" s="406">
        <v>0</v>
      </c>
      <c r="H192" s="406">
        <v>0</v>
      </c>
      <c r="I192" s="406">
        <v>0</v>
      </c>
      <c r="J192" s="406">
        <v>0</v>
      </c>
      <c r="K192" s="406">
        <v>0</v>
      </c>
      <c r="L192" s="406">
        <v>0</v>
      </c>
      <c r="M192" s="406" t="e">
        <f>'03'!#REF!+'04'!#REF!</f>
        <v>#REF!</v>
      </c>
      <c r="N192" s="406" t="e">
        <f t="shared" si="42"/>
        <v>#REF!</v>
      </c>
      <c r="O192" s="406" t="e">
        <f>'07'!#REF!</f>
        <v>#REF!</v>
      </c>
      <c r="P192" s="406" t="e">
        <f t="shared" si="43"/>
        <v>#REF!</v>
      </c>
    </row>
    <row r="193" spans="1:16" ht="24.75" customHeight="1" hidden="1">
      <c r="A193" s="428" t="s">
        <v>147</v>
      </c>
      <c r="B193" s="429" t="s">
        <v>146</v>
      </c>
      <c r="C193" s="404">
        <f t="shared" si="46"/>
        <v>0</v>
      </c>
      <c r="D193" s="404">
        <f t="shared" si="47"/>
        <v>0</v>
      </c>
      <c r="E193" s="406">
        <v>0</v>
      </c>
      <c r="F193" s="406">
        <v>0</v>
      </c>
      <c r="G193" s="406">
        <v>0</v>
      </c>
      <c r="H193" s="406">
        <v>0</v>
      </c>
      <c r="I193" s="406">
        <v>0</v>
      </c>
      <c r="J193" s="406">
        <v>0</v>
      </c>
      <c r="K193" s="406">
        <v>0</v>
      </c>
      <c r="L193" s="406">
        <v>0</v>
      </c>
      <c r="M193" s="406" t="e">
        <f>'03'!#REF!+'04'!#REF!</f>
        <v>#REF!</v>
      </c>
      <c r="N193" s="406" t="e">
        <f t="shared" si="42"/>
        <v>#REF!</v>
      </c>
      <c r="O193" s="406" t="e">
        <f>'07'!#REF!</f>
        <v>#REF!</v>
      </c>
      <c r="P193" s="406" t="e">
        <f t="shared" si="43"/>
        <v>#REF!</v>
      </c>
    </row>
    <row r="194" spans="1:16" ht="24.75" customHeight="1" hidden="1">
      <c r="A194" s="428" t="s">
        <v>149</v>
      </c>
      <c r="B194" s="431" t="s">
        <v>148</v>
      </c>
      <c r="C194" s="404">
        <f t="shared" si="46"/>
        <v>0</v>
      </c>
      <c r="D194" s="404">
        <f t="shared" si="47"/>
        <v>0</v>
      </c>
      <c r="E194" s="406">
        <v>0</v>
      </c>
      <c r="F194" s="406">
        <v>0</v>
      </c>
      <c r="G194" s="406">
        <v>0</v>
      </c>
      <c r="H194" s="406">
        <v>0</v>
      </c>
      <c r="I194" s="406">
        <v>0</v>
      </c>
      <c r="J194" s="406">
        <v>0</v>
      </c>
      <c r="K194" s="406">
        <v>0</v>
      </c>
      <c r="L194" s="406">
        <v>0</v>
      </c>
      <c r="M194" s="406" t="e">
        <f>'03'!#REF!+'04'!#REF!</f>
        <v>#REF!</v>
      </c>
      <c r="N194" s="406" t="e">
        <f t="shared" si="42"/>
        <v>#REF!</v>
      </c>
      <c r="O194" s="406" t="e">
        <f>'07'!#REF!</f>
        <v>#REF!</v>
      </c>
      <c r="P194" s="406" t="e">
        <f t="shared" si="43"/>
        <v>#REF!</v>
      </c>
    </row>
    <row r="195" spans="1:16" ht="24.75" customHeight="1" hidden="1">
      <c r="A195" s="428" t="s">
        <v>186</v>
      </c>
      <c r="B195" s="429" t="s">
        <v>150</v>
      </c>
      <c r="C195" s="404">
        <f t="shared" si="46"/>
        <v>114336</v>
      </c>
      <c r="D195" s="404">
        <f t="shared" si="47"/>
        <v>0</v>
      </c>
      <c r="E195" s="406">
        <v>0</v>
      </c>
      <c r="F195" s="406">
        <v>0</v>
      </c>
      <c r="G195" s="406">
        <v>0</v>
      </c>
      <c r="H195" s="406">
        <v>0</v>
      </c>
      <c r="I195" s="406">
        <v>0</v>
      </c>
      <c r="J195" s="406">
        <v>0</v>
      </c>
      <c r="K195" s="406">
        <v>0</v>
      </c>
      <c r="L195" s="406">
        <v>114336</v>
      </c>
      <c r="M195" s="406" t="e">
        <f>'03'!#REF!+'04'!#REF!</f>
        <v>#REF!</v>
      </c>
      <c r="N195" s="406" t="e">
        <f t="shared" si="42"/>
        <v>#REF!</v>
      </c>
      <c r="O195" s="406" t="e">
        <f>'07'!#REF!</f>
        <v>#REF!</v>
      </c>
      <c r="P195" s="406" t="e">
        <f t="shared" si="43"/>
        <v>#REF!</v>
      </c>
    </row>
    <row r="196" spans="1:16" ht="24.75" customHeight="1" hidden="1">
      <c r="A196" s="394" t="s">
        <v>53</v>
      </c>
      <c r="B196" s="395" t="s">
        <v>151</v>
      </c>
      <c r="C196" s="404">
        <f t="shared" si="46"/>
        <v>2089366</v>
      </c>
      <c r="D196" s="404">
        <f t="shared" si="47"/>
        <v>1722531</v>
      </c>
      <c r="E196" s="406">
        <v>691490</v>
      </c>
      <c r="F196" s="406">
        <v>0</v>
      </c>
      <c r="G196" s="406">
        <v>130438</v>
      </c>
      <c r="H196" s="406">
        <v>649319</v>
      </c>
      <c r="I196" s="406">
        <v>251284</v>
      </c>
      <c r="J196" s="406">
        <v>0</v>
      </c>
      <c r="K196" s="406">
        <v>0</v>
      </c>
      <c r="L196" s="406">
        <v>366835</v>
      </c>
      <c r="M196" s="404" t="e">
        <f>'03'!#REF!+'04'!#REF!</f>
        <v>#REF!</v>
      </c>
      <c r="N196" s="404" t="e">
        <f t="shared" si="42"/>
        <v>#REF!</v>
      </c>
      <c r="O196" s="404" t="e">
        <f>'07'!#REF!</f>
        <v>#REF!</v>
      </c>
      <c r="P196" s="404" t="e">
        <f t="shared" si="43"/>
        <v>#REF!</v>
      </c>
    </row>
    <row r="197" spans="1:16" ht="24.75" customHeight="1" hidden="1">
      <c r="A197" s="453" t="s">
        <v>76</v>
      </c>
      <c r="B197" s="478" t="s">
        <v>215</v>
      </c>
      <c r="C197" s="462">
        <f>(C188+C189+C190)/C187</f>
        <v>0.17172537630756696</v>
      </c>
      <c r="D197" s="396">
        <f aca="true" t="shared" si="48" ref="D197:L197">(D188+D189+D190)/D187</f>
        <v>0.40628691429321434</v>
      </c>
      <c r="E197" s="412">
        <f t="shared" si="48"/>
        <v>0.2666854563545443</v>
      </c>
      <c r="F197" s="412" t="e">
        <f t="shared" si="48"/>
        <v>#DIV/0!</v>
      </c>
      <c r="G197" s="412">
        <f t="shared" si="48"/>
        <v>1</v>
      </c>
      <c r="H197" s="412">
        <f t="shared" si="48"/>
        <v>1</v>
      </c>
      <c r="I197" s="412">
        <f t="shared" si="48"/>
        <v>0.2</v>
      </c>
      <c r="J197" s="412">
        <f t="shared" si="48"/>
        <v>0.8008626639061421</v>
      </c>
      <c r="K197" s="412">
        <f t="shared" si="48"/>
        <v>0.012180036293055014</v>
      </c>
      <c r="L197" s="412">
        <f t="shared" si="48"/>
        <v>0.19441839651381007</v>
      </c>
      <c r="M197" s="422"/>
      <c r="N197" s="479"/>
      <c r="O197" s="479"/>
      <c r="P197" s="479"/>
    </row>
    <row r="198" spans="1:16" ht="17.25" hidden="1">
      <c r="A198" s="1537" t="s">
        <v>498</v>
      </c>
      <c r="B198" s="1537"/>
      <c r="C198" s="406">
        <f>C181-C184-C185-C186</f>
        <v>0</v>
      </c>
      <c r="D198" s="406">
        <f aca="true" t="shared" si="49" ref="D198:L198">D181-D184-D185-D186</f>
        <v>0</v>
      </c>
      <c r="E198" s="406">
        <f t="shared" si="49"/>
        <v>0</v>
      </c>
      <c r="F198" s="406">
        <f t="shared" si="49"/>
        <v>0</v>
      </c>
      <c r="G198" s="406">
        <f t="shared" si="49"/>
        <v>0</v>
      </c>
      <c r="H198" s="406">
        <f t="shared" si="49"/>
        <v>0</v>
      </c>
      <c r="I198" s="406">
        <f t="shared" si="49"/>
        <v>0</v>
      </c>
      <c r="J198" s="406">
        <f t="shared" si="49"/>
        <v>0</v>
      </c>
      <c r="K198" s="406">
        <f t="shared" si="49"/>
        <v>0</v>
      </c>
      <c r="L198" s="406">
        <f t="shared" si="49"/>
        <v>0</v>
      </c>
      <c r="M198" s="422"/>
      <c r="N198" s="479"/>
      <c r="O198" s="479"/>
      <c r="P198" s="479"/>
    </row>
    <row r="199" spans="1:16" ht="17.25" hidden="1">
      <c r="A199" s="1538" t="s">
        <v>499</v>
      </c>
      <c r="B199" s="1538"/>
      <c r="C199" s="406">
        <f>C186-C187-C196</f>
        <v>0</v>
      </c>
      <c r="D199" s="406">
        <f aca="true" t="shared" si="50" ref="D199:L199">D186-D187-D196</f>
        <v>0</v>
      </c>
      <c r="E199" s="406">
        <f t="shared" si="50"/>
        <v>0</v>
      </c>
      <c r="F199" s="406">
        <f t="shared" si="50"/>
        <v>0</v>
      </c>
      <c r="G199" s="406">
        <f t="shared" si="50"/>
        <v>0</v>
      </c>
      <c r="H199" s="406">
        <f t="shared" si="50"/>
        <v>0</v>
      </c>
      <c r="I199" s="406">
        <f t="shared" si="50"/>
        <v>0</v>
      </c>
      <c r="J199" s="406">
        <f t="shared" si="50"/>
        <v>0</v>
      </c>
      <c r="K199" s="406">
        <f t="shared" si="50"/>
        <v>0</v>
      </c>
      <c r="L199" s="406">
        <f t="shared" si="50"/>
        <v>0</v>
      </c>
      <c r="M199" s="422"/>
      <c r="N199" s="479"/>
      <c r="O199" s="479"/>
      <c r="P199" s="479"/>
    </row>
    <row r="200" spans="1:16" ht="18.75" hidden="1">
      <c r="A200" s="464"/>
      <c r="B200" s="480" t="s">
        <v>518</v>
      </c>
      <c r="C200" s="480"/>
      <c r="D200" s="454"/>
      <c r="E200" s="454"/>
      <c r="F200" s="454"/>
      <c r="G200" s="1564" t="s">
        <v>518</v>
      </c>
      <c r="H200" s="1564"/>
      <c r="I200" s="1564"/>
      <c r="J200" s="1564"/>
      <c r="K200" s="1564"/>
      <c r="L200" s="1564"/>
      <c r="M200" s="467"/>
      <c r="N200" s="467"/>
      <c r="O200" s="467"/>
      <c r="P200" s="467"/>
    </row>
    <row r="201" spans="1:16" ht="18.75" hidden="1">
      <c r="A201" s="1565" t="s">
        <v>4</v>
      </c>
      <c r="B201" s="1565"/>
      <c r="C201" s="1565"/>
      <c r="D201" s="1565"/>
      <c r="E201" s="454"/>
      <c r="F201" s="454"/>
      <c r="G201" s="481"/>
      <c r="H201" s="1566" t="s">
        <v>519</v>
      </c>
      <c r="I201" s="1566"/>
      <c r="J201" s="1566"/>
      <c r="K201" s="1566"/>
      <c r="L201" s="1566"/>
      <c r="M201" s="467"/>
      <c r="N201" s="467"/>
      <c r="O201" s="467"/>
      <c r="P201" s="467"/>
    </row>
    <row r="202" ht="15" hidden="1"/>
    <row r="203" ht="15" hidden="1"/>
    <row r="204" ht="15" hidden="1"/>
    <row r="205" ht="15" hidden="1"/>
    <row r="206" ht="15" hidden="1"/>
    <row r="207" ht="15" hidden="1"/>
    <row r="208" ht="15" hidden="1"/>
    <row r="209" ht="15" hidden="1"/>
    <row r="210" ht="15" hidden="1"/>
    <row r="211" spans="1:13" ht="16.5" hidden="1">
      <c r="A211" s="1549" t="s">
        <v>33</v>
      </c>
      <c r="B211" s="1550"/>
      <c r="C211" s="463"/>
      <c r="D211" s="1526" t="s">
        <v>79</v>
      </c>
      <c r="E211" s="1526"/>
      <c r="F211" s="1526"/>
      <c r="G211" s="1526"/>
      <c r="H211" s="1526"/>
      <c r="I211" s="1526"/>
      <c r="J211" s="1526"/>
      <c r="K211" s="1551"/>
      <c r="L211" s="1551"/>
      <c r="M211" s="467"/>
    </row>
    <row r="212" spans="1:13" ht="16.5" hidden="1">
      <c r="A212" s="1517" t="s">
        <v>342</v>
      </c>
      <c r="B212" s="1517"/>
      <c r="C212" s="1517"/>
      <c r="D212" s="1526" t="s">
        <v>216</v>
      </c>
      <c r="E212" s="1526"/>
      <c r="F212" s="1526"/>
      <c r="G212" s="1526"/>
      <c r="H212" s="1526"/>
      <c r="I212" s="1526"/>
      <c r="J212" s="1526"/>
      <c r="K212" s="1563" t="s">
        <v>509</v>
      </c>
      <c r="L212" s="1563"/>
      <c r="M212" s="464"/>
    </row>
    <row r="213" spans="1:13" ht="16.5" hidden="1">
      <c r="A213" s="1517" t="s">
        <v>343</v>
      </c>
      <c r="B213" s="1517"/>
      <c r="C213" s="413"/>
      <c r="D213" s="1530" t="s">
        <v>11</v>
      </c>
      <c r="E213" s="1530"/>
      <c r="F213" s="1530"/>
      <c r="G213" s="1530"/>
      <c r="H213" s="1530"/>
      <c r="I213" s="1530"/>
      <c r="J213" s="1530"/>
      <c r="K213" s="1551"/>
      <c r="L213" s="1551"/>
      <c r="M213" s="467"/>
    </row>
    <row r="214" spans="1:13" ht="15.75" hidden="1">
      <c r="A214" s="433" t="s">
        <v>119</v>
      </c>
      <c r="B214" s="433"/>
      <c r="C214" s="418"/>
      <c r="D214" s="468"/>
      <c r="E214" s="468"/>
      <c r="F214" s="469"/>
      <c r="G214" s="469"/>
      <c r="H214" s="469"/>
      <c r="I214" s="469"/>
      <c r="J214" s="469"/>
      <c r="K214" s="1567"/>
      <c r="L214" s="1567"/>
      <c r="M214" s="464"/>
    </row>
    <row r="215" spans="1:13" ht="15.75" hidden="1">
      <c r="A215" s="468"/>
      <c r="B215" s="468" t="s">
        <v>94</v>
      </c>
      <c r="C215" s="468"/>
      <c r="D215" s="468"/>
      <c r="E215" s="468"/>
      <c r="F215" s="468"/>
      <c r="G215" s="468"/>
      <c r="H215" s="468"/>
      <c r="I215" s="468"/>
      <c r="J215" s="468"/>
      <c r="K215" s="1552"/>
      <c r="L215" s="1552"/>
      <c r="M215" s="464"/>
    </row>
    <row r="216" spans="1:13" ht="15.75" hidden="1">
      <c r="A216" s="1245" t="s">
        <v>71</v>
      </c>
      <c r="B216" s="1246"/>
      <c r="C216" s="1531" t="s">
        <v>38</v>
      </c>
      <c r="D216" s="1553" t="s">
        <v>339</v>
      </c>
      <c r="E216" s="1553"/>
      <c r="F216" s="1553"/>
      <c r="G216" s="1553"/>
      <c r="H216" s="1553"/>
      <c r="I216" s="1553"/>
      <c r="J216" s="1553"/>
      <c r="K216" s="1553"/>
      <c r="L216" s="1553"/>
      <c r="M216" s="467"/>
    </row>
    <row r="217" spans="1:13" ht="15.75" hidden="1">
      <c r="A217" s="1247"/>
      <c r="B217" s="1248"/>
      <c r="C217" s="1531"/>
      <c r="D217" s="1568" t="s">
        <v>207</v>
      </c>
      <c r="E217" s="1569"/>
      <c r="F217" s="1569"/>
      <c r="G217" s="1569"/>
      <c r="H217" s="1569"/>
      <c r="I217" s="1569"/>
      <c r="J217" s="1570"/>
      <c r="K217" s="1571" t="s">
        <v>208</v>
      </c>
      <c r="L217" s="1571" t="s">
        <v>209</v>
      </c>
      <c r="M217" s="464"/>
    </row>
    <row r="218" spans="1:13" ht="15.75" hidden="1">
      <c r="A218" s="1247"/>
      <c r="B218" s="1248"/>
      <c r="C218" s="1531"/>
      <c r="D218" s="1576" t="s">
        <v>37</v>
      </c>
      <c r="E218" s="1577" t="s">
        <v>7</v>
      </c>
      <c r="F218" s="1578"/>
      <c r="G218" s="1578"/>
      <c r="H218" s="1578"/>
      <c r="I218" s="1578"/>
      <c r="J218" s="1579"/>
      <c r="K218" s="1572"/>
      <c r="L218" s="1574"/>
      <c r="M218" s="464"/>
    </row>
    <row r="219" spans="1:16" ht="15.75" hidden="1">
      <c r="A219" s="1535"/>
      <c r="B219" s="1536"/>
      <c r="C219" s="1531"/>
      <c r="D219" s="1576"/>
      <c r="E219" s="470" t="s">
        <v>210</v>
      </c>
      <c r="F219" s="470" t="s">
        <v>211</v>
      </c>
      <c r="G219" s="470" t="s">
        <v>212</v>
      </c>
      <c r="H219" s="470" t="s">
        <v>213</v>
      </c>
      <c r="I219" s="470" t="s">
        <v>344</v>
      </c>
      <c r="J219" s="470" t="s">
        <v>214</v>
      </c>
      <c r="K219" s="1573"/>
      <c r="L219" s="1575"/>
      <c r="M219" s="1529" t="s">
        <v>500</v>
      </c>
      <c r="N219" s="1529"/>
      <c r="O219" s="1529"/>
      <c r="P219" s="1529"/>
    </row>
    <row r="220" spans="1:16" ht="15" hidden="1">
      <c r="A220" s="1533" t="s">
        <v>6</v>
      </c>
      <c r="B220" s="1534"/>
      <c r="C220" s="471">
        <v>1</v>
      </c>
      <c r="D220" s="472">
        <v>2</v>
      </c>
      <c r="E220" s="471">
        <v>3</v>
      </c>
      <c r="F220" s="472">
        <v>4</v>
      </c>
      <c r="G220" s="471">
        <v>5</v>
      </c>
      <c r="H220" s="472">
        <v>6</v>
      </c>
      <c r="I220" s="471">
        <v>7</v>
      </c>
      <c r="J220" s="472">
        <v>8</v>
      </c>
      <c r="K220" s="471">
        <v>9</v>
      </c>
      <c r="L220" s="472">
        <v>10</v>
      </c>
      <c r="M220" s="473" t="s">
        <v>501</v>
      </c>
      <c r="N220" s="474" t="s">
        <v>504</v>
      </c>
      <c r="O220" s="474" t="s">
        <v>502</v>
      </c>
      <c r="P220" s="474" t="s">
        <v>503</v>
      </c>
    </row>
    <row r="221" spans="1:16" ht="24.75" customHeight="1" hidden="1">
      <c r="A221" s="425" t="s">
        <v>0</v>
      </c>
      <c r="B221" s="426" t="s">
        <v>131</v>
      </c>
      <c r="C221" s="404">
        <f>C222+C223</f>
        <v>151317.2</v>
      </c>
      <c r="D221" s="404">
        <f aca="true" t="shared" si="51" ref="D221:L221">D222+D223</f>
        <v>70217.2</v>
      </c>
      <c r="E221" s="404">
        <f t="shared" si="51"/>
        <v>30144.2</v>
      </c>
      <c r="F221" s="404">
        <f t="shared" si="51"/>
        <v>0</v>
      </c>
      <c r="G221" s="404">
        <f t="shared" si="51"/>
        <v>26600</v>
      </c>
      <c r="H221" s="404">
        <f t="shared" si="51"/>
        <v>10300</v>
      </c>
      <c r="I221" s="404">
        <f t="shared" si="51"/>
        <v>0</v>
      </c>
      <c r="J221" s="404">
        <f t="shared" si="51"/>
        <v>3173</v>
      </c>
      <c r="K221" s="404">
        <f t="shared" si="51"/>
        <v>0</v>
      </c>
      <c r="L221" s="404">
        <f t="shared" si="51"/>
        <v>81100</v>
      </c>
      <c r="M221" s="404" t="e">
        <f>'03'!#REF!+'04'!#REF!</f>
        <v>#REF!</v>
      </c>
      <c r="N221" s="404" t="e">
        <f>C221-M221</f>
        <v>#REF!</v>
      </c>
      <c r="O221" s="404" t="e">
        <f>'07'!#REF!</f>
        <v>#REF!</v>
      </c>
      <c r="P221" s="404" t="e">
        <f>C221-O221</f>
        <v>#REF!</v>
      </c>
    </row>
    <row r="222" spans="1:16" ht="24.75" customHeight="1" hidden="1">
      <c r="A222" s="428">
        <v>1</v>
      </c>
      <c r="B222" s="429" t="s">
        <v>132</v>
      </c>
      <c r="C222" s="404">
        <f>D222+K222+L222</f>
        <v>41540</v>
      </c>
      <c r="D222" s="404">
        <f>E222+F222+G222+H222+I222+J222</f>
        <v>41540</v>
      </c>
      <c r="E222" s="406">
        <v>4640</v>
      </c>
      <c r="F222" s="406"/>
      <c r="G222" s="406">
        <v>26600</v>
      </c>
      <c r="H222" s="406">
        <v>10300</v>
      </c>
      <c r="I222" s="406"/>
      <c r="J222" s="406"/>
      <c r="K222" s="406"/>
      <c r="L222" s="406"/>
      <c r="M222" s="406" t="e">
        <f>'03'!#REF!+'04'!#REF!</f>
        <v>#REF!</v>
      </c>
      <c r="N222" s="406" t="e">
        <f aca="true" t="shared" si="52" ref="N222:N236">C222-M222</f>
        <v>#REF!</v>
      </c>
      <c r="O222" s="404" t="e">
        <f>'07'!#REF!</f>
        <v>#REF!</v>
      </c>
      <c r="P222" s="406" t="e">
        <f aca="true" t="shared" si="53" ref="P222:P236">C222-O222</f>
        <v>#REF!</v>
      </c>
    </row>
    <row r="223" spans="1:16" ht="24.75" customHeight="1" hidden="1">
      <c r="A223" s="428">
        <v>2</v>
      </c>
      <c r="B223" s="429" t="s">
        <v>133</v>
      </c>
      <c r="C223" s="404">
        <f>D223+K223+L223</f>
        <v>109777.2</v>
      </c>
      <c r="D223" s="404">
        <f>E223+F223+G223+H223+I223+J223</f>
        <v>28677.2</v>
      </c>
      <c r="E223" s="406">
        <v>25504.2</v>
      </c>
      <c r="F223" s="406">
        <v>0</v>
      </c>
      <c r="G223" s="406">
        <v>0</v>
      </c>
      <c r="H223" s="406">
        <v>0</v>
      </c>
      <c r="I223" s="406">
        <v>0</v>
      </c>
      <c r="J223" s="406">
        <v>3173</v>
      </c>
      <c r="K223" s="406">
        <v>0</v>
      </c>
      <c r="L223" s="406">
        <v>81100</v>
      </c>
      <c r="M223" s="406" t="e">
        <f>'03'!#REF!+'04'!#REF!</f>
        <v>#REF!</v>
      </c>
      <c r="N223" s="406" t="e">
        <f t="shared" si="52"/>
        <v>#REF!</v>
      </c>
      <c r="O223" s="404" t="e">
        <f>'07'!#REF!</f>
        <v>#REF!</v>
      </c>
      <c r="P223" s="406" t="e">
        <f t="shared" si="53"/>
        <v>#REF!</v>
      </c>
    </row>
    <row r="224" spans="1:16" ht="24.75" customHeight="1" hidden="1">
      <c r="A224" s="394" t="s">
        <v>1</v>
      </c>
      <c r="B224" s="395" t="s">
        <v>134</v>
      </c>
      <c r="C224" s="404">
        <f>D224+K224+L224</f>
        <v>0</v>
      </c>
      <c r="D224" s="404">
        <f>E224+F224+G224+H224+I224+J224</f>
        <v>0</v>
      </c>
      <c r="E224" s="406">
        <v>0</v>
      </c>
      <c r="F224" s="406">
        <v>0</v>
      </c>
      <c r="G224" s="406">
        <v>0</v>
      </c>
      <c r="H224" s="406">
        <v>0</v>
      </c>
      <c r="I224" s="406">
        <v>0</v>
      </c>
      <c r="J224" s="406">
        <v>0</v>
      </c>
      <c r="K224" s="406">
        <v>0</v>
      </c>
      <c r="L224" s="406">
        <v>0</v>
      </c>
      <c r="M224" s="406" t="e">
        <f>'03'!#REF!+'04'!#REF!</f>
        <v>#REF!</v>
      </c>
      <c r="N224" s="406" t="e">
        <f t="shared" si="52"/>
        <v>#REF!</v>
      </c>
      <c r="O224" s="406" t="e">
        <f>'07'!#REF!</f>
        <v>#REF!</v>
      </c>
      <c r="P224" s="406" t="e">
        <f t="shared" si="53"/>
        <v>#REF!</v>
      </c>
    </row>
    <row r="225" spans="1:16" ht="24.75" customHeight="1" hidden="1">
      <c r="A225" s="394" t="s">
        <v>9</v>
      </c>
      <c r="B225" s="395" t="s">
        <v>135</v>
      </c>
      <c r="C225" s="404">
        <f>D225+K225+L225</f>
        <v>0</v>
      </c>
      <c r="D225" s="404">
        <f>E225+F225+G225+H225+I225+J225</f>
        <v>0</v>
      </c>
      <c r="E225" s="406">
        <v>0</v>
      </c>
      <c r="F225" s="406">
        <v>0</v>
      </c>
      <c r="G225" s="406">
        <v>0</v>
      </c>
      <c r="H225" s="406">
        <v>0</v>
      </c>
      <c r="I225" s="406">
        <v>0</v>
      </c>
      <c r="J225" s="406">
        <v>0</v>
      </c>
      <c r="K225" s="406">
        <v>0</v>
      </c>
      <c r="L225" s="406">
        <v>0</v>
      </c>
      <c r="M225" s="406" t="e">
        <f>'03'!#REF!+'04'!#REF!</f>
        <v>#REF!</v>
      </c>
      <c r="N225" s="406" t="e">
        <f t="shared" si="52"/>
        <v>#REF!</v>
      </c>
      <c r="O225" s="406" t="e">
        <f>'07'!#REF!</f>
        <v>#REF!</v>
      </c>
      <c r="P225" s="406" t="e">
        <f t="shared" si="53"/>
        <v>#REF!</v>
      </c>
    </row>
    <row r="226" spans="1:16" ht="24.75" customHeight="1" hidden="1">
      <c r="A226" s="394" t="s">
        <v>136</v>
      </c>
      <c r="B226" s="395" t="s">
        <v>137</v>
      </c>
      <c r="C226" s="404">
        <f>C227+C236</f>
        <v>151317.2</v>
      </c>
      <c r="D226" s="404">
        <f aca="true" t="shared" si="54" ref="D226:L226">D227+D236</f>
        <v>70217.2</v>
      </c>
      <c r="E226" s="404">
        <f t="shared" si="54"/>
        <v>30144.2</v>
      </c>
      <c r="F226" s="404">
        <f t="shared" si="54"/>
        <v>0</v>
      </c>
      <c r="G226" s="404">
        <f t="shared" si="54"/>
        <v>26600</v>
      </c>
      <c r="H226" s="404">
        <f t="shared" si="54"/>
        <v>10300</v>
      </c>
      <c r="I226" s="404">
        <f t="shared" si="54"/>
        <v>0</v>
      </c>
      <c r="J226" s="404">
        <f t="shared" si="54"/>
        <v>3173</v>
      </c>
      <c r="K226" s="404">
        <f t="shared" si="54"/>
        <v>0</v>
      </c>
      <c r="L226" s="404">
        <f t="shared" si="54"/>
        <v>81100</v>
      </c>
      <c r="M226" s="404" t="e">
        <f>'03'!#REF!+'04'!#REF!</f>
        <v>#REF!</v>
      </c>
      <c r="N226" s="404" t="e">
        <f t="shared" si="52"/>
        <v>#REF!</v>
      </c>
      <c r="O226" s="404" t="e">
        <f>'07'!#REF!</f>
        <v>#REF!</v>
      </c>
      <c r="P226" s="404" t="e">
        <f t="shared" si="53"/>
        <v>#REF!</v>
      </c>
    </row>
    <row r="227" spans="1:16" ht="24.75" customHeight="1" hidden="1">
      <c r="A227" s="394" t="s">
        <v>52</v>
      </c>
      <c r="B227" s="430" t="s">
        <v>138</v>
      </c>
      <c r="C227" s="404">
        <f>SUM(C228:C235)</f>
        <v>109777.2</v>
      </c>
      <c r="D227" s="404">
        <f aca="true" t="shared" si="55" ref="D227:L227">SUM(D228:D235)</f>
        <v>28677.2</v>
      </c>
      <c r="E227" s="404">
        <f t="shared" si="55"/>
        <v>25504.2</v>
      </c>
      <c r="F227" s="404">
        <f t="shared" si="55"/>
        <v>0</v>
      </c>
      <c r="G227" s="404">
        <f t="shared" si="55"/>
        <v>0</v>
      </c>
      <c r="H227" s="404">
        <f t="shared" si="55"/>
        <v>0</v>
      </c>
      <c r="I227" s="404">
        <f t="shared" si="55"/>
        <v>0</v>
      </c>
      <c r="J227" s="404">
        <f t="shared" si="55"/>
        <v>3173</v>
      </c>
      <c r="K227" s="404">
        <f t="shared" si="55"/>
        <v>0</v>
      </c>
      <c r="L227" s="404">
        <f t="shared" si="55"/>
        <v>81100</v>
      </c>
      <c r="M227" s="404" t="e">
        <f>'03'!#REF!+'04'!#REF!</f>
        <v>#REF!</v>
      </c>
      <c r="N227" s="404" t="e">
        <f t="shared" si="52"/>
        <v>#REF!</v>
      </c>
      <c r="O227" s="404" t="e">
        <f>'07'!#REF!</f>
        <v>#REF!</v>
      </c>
      <c r="P227" s="404" t="e">
        <f t="shared" si="53"/>
        <v>#REF!</v>
      </c>
    </row>
    <row r="228" spans="1:16" ht="24.75" customHeight="1" hidden="1">
      <c r="A228" s="428" t="s">
        <v>54</v>
      </c>
      <c r="B228" s="429" t="s">
        <v>139</v>
      </c>
      <c r="C228" s="404">
        <f aca="true" t="shared" si="56" ref="C228:C236">D228+K228+L228</f>
        <v>60767</v>
      </c>
      <c r="D228" s="404">
        <f aca="true" t="shared" si="57" ref="D228:D236">E228+F228+G228+H228+I228+J228</f>
        <v>16267</v>
      </c>
      <c r="E228" s="406">
        <v>13195</v>
      </c>
      <c r="F228" s="406">
        <v>0</v>
      </c>
      <c r="G228" s="406">
        <v>0</v>
      </c>
      <c r="H228" s="406">
        <v>0</v>
      </c>
      <c r="I228" s="406">
        <v>0</v>
      </c>
      <c r="J228" s="406">
        <v>3072</v>
      </c>
      <c r="K228" s="406">
        <v>0</v>
      </c>
      <c r="L228" s="406">
        <v>44500</v>
      </c>
      <c r="M228" s="406" t="e">
        <f>'03'!#REF!+'04'!#REF!</f>
        <v>#REF!</v>
      </c>
      <c r="N228" s="406" t="e">
        <f t="shared" si="52"/>
        <v>#REF!</v>
      </c>
      <c r="O228" s="406" t="e">
        <f>'07'!#REF!</f>
        <v>#REF!</v>
      </c>
      <c r="P228" s="406" t="e">
        <f t="shared" si="53"/>
        <v>#REF!</v>
      </c>
    </row>
    <row r="229" spans="1:16" ht="24.75" customHeight="1" hidden="1">
      <c r="A229" s="428" t="s">
        <v>55</v>
      </c>
      <c r="B229" s="429" t="s">
        <v>140</v>
      </c>
      <c r="C229" s="404">
        <f t="shared" si="56"/>
        <v>0</v>
      </c>
      <c r="D229" s="404">
        <f t="shared" si="57"/>
        <v>0</v>
      </c>
      <c r="E229" s="406">
        <v>0</v>
      </c>
      <c r="F229" s="406">
        <v>0</v>
      </c>
      <c r="G229" s="406">
        <v>0</v>
      </c>
      <c r="H229" s="406">
        <v>0</v>
      </c>
      <c r="I229" s="406">
        <v>0</v>
      </c>
      <c r="J229" s="406">
        <v>0</v>
      </c>
      <c r="K229" s="406">
        <v>0</v>
      </c>
      <c r="L229" s="406">
        <v>0</v>
      </c>
      <c r="M229" s="406" t="e">
        <f>'03'!#REF!+'04'!#REF!</f>
        <v>#REF!</v>
      </c>
      <c r="N229" s="406" t="e">
        <f t="shared" si="52"/>
        <v>#REF!</v>
      </c>
      <c r="O229" s="406" t="e">
        <f>'07'!#REF!</f>
        <v>#REF!</v>
      </c>
      <c r="P229" s="406" t="e">
        <f t="shared" si="53"/>
        <v>#REF!</v>
      </c>
    </row>
    <row r="230" spans="1:16" ht="24.75" customHeight="1" hidden="1">
      <c r="A230" s="428" t="s">
        <v>141</v>
      </c>
      <c r="B230" s="429" t="s">
        <v>202</v>
      </c>
      <c r="C230" s="404">
        <f t="shared" si="56"/>
        <v>0</v>
      </c>
      <c r="D230" s="404">
        <f t="shared" si="57"/>
        <v>0</v>
      </c>
      <c r="E230" s="406">
        <v>0</v>
      </c>
      <c r="F230" s="406">
        <v>0</v>
      </c>
      <c r="G230" s="406">
        <v>0</v>
      </c>
      <c r="H230" s="406">
        <v>0</v>
      </c>
      <c r="I230" s="406">
        <v>0</v>
      </c>
      <c r="J230" s="406">
        <v>0</v>
      </c>
      <c r="K230" s="406">
        <v>0</v>
      </c>
      <c r="L230" s="406">
        <v>0</v>
      </c>
      <c r="M230" s="406" t="e">
        <f>'03'!#REF!</f>
        <v>#REF!</v>
      </c>
      <c r="N230" s="406" t="e">
        <f t="shared" si="52"/>
        <v>#REF!</v>
      </c>
      <c r="O230" s="406" t="e">
        <f>'07'!#REF!</f>
        <v>#REF!</v>
      </c>
      <c r="P230" s="406" t="e">
        <f t="shared" si="53"/>
        <v>#REF!</v>
      </c>
    </row>
    <row r="231" spans="1:16" ht="24.75" customHeight="1" hidden="1">
      <c r="A231" s="428" t="s">
        <v>143</v>
      </c>
      <c r="B231" s="429" t="s">
        <v>142</v>
      </c>
      <c r="C231" s="404">
        <f t="shared" si="56"/>
        <v>49010.2</v>
      </c>
      <c r="D231" s="404">
        <f t="shared" si="57"/>
        <v>12410.2</v>
      </c>
      <c r="E231" s="406">
        <v>12309.2</v>
      </c>
      <c r="F231" s="406">
        <v>0</v>
      </c>
      <c r="G231" s="406">
        <v>0</v>
      </c>
      <c r="H231" s="406">
        <v>0</v>
      </c>
      <c r="I231" s="406">
        <v>0</v>
      </c>
      <c r="J231" s="406">
        <v>101</v>
      </c>
      <c r="K231" s="406">
        <v>0</v>
      </c>
      <c r="L231" s="406">
        <v>36600</v>
      </c>
      <c r="M231" s="406" t="e">
        <f>'03'!#REF!+'04'!#REF!</f>
        <v>#REF!</v>
      </c>
      <c r="N231" s="406" t="e">
        <f t="shared" si="52"/>
        <v>#REF!</v>
      </c>
      <c r="O231" s="406" t="e">
        <f>'07'!#REF!</f>
        <v>#REF!</v>
      </c>
      <c r="P231" s="406" t="e">
        <f t="shared" si="53"/>
        <v>#REF!</v>
      </c>
    </row>
    <row r="232" spans="1:16" ht="24.75" customHeight="1" hidden="1">
      <c r="A232" s="428" t="s">
        <v>145</v>
      </c>
      <c r="B232" s="429" t="s">
        <v>144</v>
      </c>
      <c r="C232" s="404">
        <f t="shared" si="56"/>
        <v>0</v>
      </c>
      <c r="D232" s="404">
        <f t="shared" si="57"/>
        <v>0</v>
      </c>
      <c r="E232" s="406">
        <v>0</v>
      </c>
      <c r="F232" s="406">
        <v>0</v>
      </c>
      <c r="G232" s="406">
        <v>0</v>
      </c>
      <c r="H232" s="406">
        <v>0</v>
      </c>
      <c r="I232" s="406">
        <v>0</v>
      </c>
      <c r="J232" s="406">
        <v>0</v>
      </c>
      <c r="K232" s="406">
        <v>0</v>
      </c>
      <c r="L232" s="406">
        <v>0</v>
      </c>
      <c r="M232" s="406" t="e">
        <f>'03'!#REF!+'04'!#REF!</f>
        <v>#REF!</v>
      </c>
      <c r="N232" s="406" t="e">
        <f t="shared" si="52"/>
        <v>#REF!</v>
      </c>
      <c r="O232" s="406" t="e">
        <f>'07'!#REF!</f>
        <v>#REF!</v>
      </c>
      <c r="P232" s="406" t="e">
        <f t="shared" si="53"/>
        <v>#REF!</v>
      </c>
    </row>
    <row r="233" spans="1:16" ht="24.75" customHeight="1" hidden="1">
      <c r="A233" s="428" t="s">
        <v>147</v>
      </c>
      <c r="B233" s="429" t="s">
        <v>146</v>
      </c>
      <c r="C233" s="404">
        <f t="shared" si="56"/>
        <v>0</v>
      </c>
      <c r="D233" s="404">
        <f t="shared" si="57"/>
        <v>0</v>
      </c>
      <c r="E233" s="406">
        <v>0</v>
      </c>
      <c r="F233" s="406">
        <v>0</v>
      </c>
      <c r="G233" s="406">
        <v>0</v>
      </c>
      <c r="H233" s="406">
        <v>0</v>
      </c>
      <c r="I233" s="406">
        <v>0</v>
      </c>
      <c r="J233" s="406">
        <v>0</v>
      </c>
      <c r="K233" s="406">
        <v>0</v>
      </c>
      <c r="L233" s="406">
        <v>0</v>
      </c>
      <c r="M233" s="406" t="e">
        <f>'03'!#REF!+'04'!#REF!</f>
        <v>#REF!</v>
      </c>
      <c r="N233" s="406" t="e">
        <f t="shared" si="52"/>
        <v>#REF!</v>
      </c>
      <c r="O233" s="406" t="e">
        <f>'07'!#REF!</f>
        <v>#REF!</v>
      </c>
      <c r="P233" s="406" t="e">
        <f t="shared" si="53"/>
        <v>#REF!</v>
      </c>
    </row>
    <row r="234" spans="1:16" ht="24.75" customHeight="1" hidden="1">
      <c r="A234" s="428" t="s">
        <v>149</v>
      </c>
      <c r="B234" s="431" t="s">
        <v>148</v>
      </c>
      <c r="C234" s="404">
        <f t="shared" si="56"/>
        <v>0</v>
      </c>
      <c r="D234" s="404">
        <f t="shared" si="57"/>
        <v>0</v>
      </c>
      <c r="E234" s="406">
        <v>0</v>
      </c>
      <c r="F234" s="406">
        <v>0</v>
      </c>
      <c r="G234" s="406"/>
      <c r="H234" s="406">
        <v>0</v>
      </c>
      <c r="I234" s="406">
        <v>0</v>
      </c>
      <c r="J234" s="406">
        <v>0</v>
      </c>
      <c r="K234" s="406">
        <v>0</v>
      </c>
      <c r="L234" s="406">
        <v>0</v>
      </c>
      <c r="M234" s="406" t="e">
        <f>'03'!#REF!+'04'!#REF!</f>
        <v>#REF!</v>
      </c>
      <c r="N234" s="406" t="e">
        <f t="shared" si="52"/>
        <v>#REF!</v>
      </c>
      <c r="O234" s="406" t="e">
        <f>'07'!#REF!</f>
        <v>#REF!</v>
      </c>
      <c r="P234" s="406" t="e">
        <f t="shared" si="53"/>
        <v>#REF!</v>
      </c>
    </row>
    <row r="235" spans="1:16" ht="24.75" customHeight="1" hidden="1">
      <c r="A235" s="428" t="s">
        <v>186</v>
      </c>
      <c r="B235" s="429" t="s">
        <v>150</v>
      </c>
      <c r="C235" s="404">
        <f t="shared" si="56"/>
        <v>0</v>
      </c>
      <c r="D235" s="404">
        <f t="shared" si="57"/>
        <v>0</v>
      </c>
      <c r="E235" s="406">
        <v>0</v>
      </c>
      <c r="F235" s="406">
        <v>0</v>
      </c>
      <c r="G235" s="406">
        <v>0</v>
      </c>
      <c r="H235" s="406">
        <v>0</v>
      </c>
      <c r="I235" s="406">
        <v>0</v>
      </c>
      <c r="J235" s="406">
        <v>0</v>
      </c>
      <c r="K235" s="406">
        <v>0</v>
      </c>
      <c r="L235" s="406">
        <v>0</v>
      </c>
      <c r="M235" s="406" t="e">
        <f>'03'!#REF!+'04'!#REF!</f>
        <v>#REF!</v>
      </c>
      <c r="N235" s="406" t="e">
        <f t="shared" si="52"/>
        <v>#REF!</v>
      </c>
      <c r="O235" s="406" t="e">
        <f>'07'!#REF!</f>
        <v>#REF!</v>
      </c>
      <c r="P235" s="406" t="e">
        <f t="shared" si="53"/>
        <v>#REF!</v>
      </c>
    </row>
    <row r="236" spans="1:16" ht="24.75" customHeight="1" hidden="1">
      <c r="A236" s="394" t="s">
        <v>53</v>
      </c>
      <c r="B236" s="395" t="s">
        <v>151</v>
      </c>
      <c r="C236" s="404">
        <f t="shared" si="56"/>
        <v>41540</v>
      </c>
      <c r="D236" s="404">
        <f t="shared" si="57"/>
        <v>41540</v>
      </c>
      <c r="E236" s="406">
        <v>4640</v>
      </c>
      <c r="F236" s="406">
        <v>0</v>
      </c>
      <c r="G236" s="406">
        <v>26600</v>
      </c>
      <c r="H236" s="406">
        <v>10300</v>
      </c>
      <c r="I236" s="406">
        <v>0</v>
      </c>
      <c r="J236" s="406">
        <v>0</v>
      </c>
      <c r="K236" s="406">
        <v>0</v>
      </c>
      <c r="L236" s="406">
        <v>0</v>
      </c>
      <c r="M236" s="404" t="e">
        <f>'03'!#REF!+'04'!#REF!</f>
        <v>#REF!</v>
      </c>
      <c r="N236" s="404" t="e">
        <f t="shared" si="52"/>
        <v>#REF!</v>
      </c>
      <c r="O236" s="404" t="e">
        <f>'07'!#REF!</f>
        <v>#REF!</v>
      </c>
      <c r="P236" s="404" t="e">
        <f t="shared" si="53"/>
        <v>#REF!</v>
      </c>
    </row>
    <row r="237" spans="1:16" ht="24.75" customHeight="1" hidden="1">
      <c r="A237" s="453" t="s">
        <v>76</v>
      </c>
      <c r="B237" s="478" t="s">
        <v>215</v>
      </c>
      <c r="C237" s="462">
        <f>(C228+C229+C230)/C227</f>
        <v>0.5535484599716517</v>
      </c>
      <c r="D237" s="396">
        <f aca="true" t="shared" si="58" ref="D237:L237">(D228+D229+D230)/D227</f>
        <v>0.5672450587923507</v>
      </c>
      <c r="E237" s="412">
        <f t="shared" si="58"/>
        <v>0.5173657672069698</v>
      </c>
      <c r="F237" s="412" t="e">
        <f t="shared" si="58"/>
        <v>#DIV/0!</v>
      </c>
      <c r="G237" s="412" t="e">
        <f t="shared" si="58"/>
        <v>#DIV/0!</v>
      </c>
      <c r="H237" s="412" t="e">
        <f t="shared" si="58"/>
        <v>#DIV/0!</v>
      </c>
      <c r="I237" s="412" t="e">
        <f t="shared" si="58"/>
        <v>#DIV/0!</v>
      </c>
      <c r="J237" s="412">
        <f t="shared" si="58"/>
        <v>0.9681689253072802</v>
      </c>
      <c r="K237" s="412" t="e">
        <f t="shared" si="58"/>
        <v>#DIV/0!</v>
      </c>
      <c r="L237" s="412">
        <f t="shared" si="58"/>
        <v>0.5487053020961775</v>
      </c>
      <c r="M237" s="422"/>
      <c r="N237" s="479"/>
      <c r="O237" s="479"/>
      <c r="P237" s="479"/>
    </row>
    <row r="238" spans="1:16" ht="27.75" customHeight="1" hidden="1">
      <c r="A238" s="1537" t="s">
        <v>498</v>
      </c>
      <c r="B238" s="1537"/>
      <c r="C238" s="406">
        <f>C221-C224-C225-C226</f>
        <v>0</v>
      </c>
      <c r="D238" s="406">
        <f aca="true" t="shared" si="59" ref="D238:L238">D221-D224-D225-D226</f>
        <v>0</v>
      </c>
      <c r="E238" s="406">
        <f t="shared" si="59"/>
        <v>0</v>
      </c>
      <c r="F238" s="406">
        <f t="shared" si="59"/>
        <v>0</v>
      </c>
      <c r="G238" s="406">
        <f t="shared" si="59"/>
        <v>0</v>
      </c>
      <c r="H238" s="406">
        <f t="shared" si="59"/>
        <v>0</v>
      </c>
      <c r="I238" s="406">
        <f t="shared" si="59"/>
        <v>0</v>
      </c>
      <c r="J238" s="406">
        <f t="shared" si="59"/>
        <v>0</v>
      </c>
      <c r="K238" s="406">
        <f t="shared" si="59"/>
        <v>0</v>
      </c>
      <c r="L238" s="406">
        <f t="shared" si="59"/>
        <v>0</v>
      </c>
      <c r="M238" s="422"/>
      <c r="N238" s="479"/>
      <c r="O238" s="479"/>
      <c r="P238" s="479"/>
    </row>
    <row r="239" spans="1:16" ht="17.25" hidden="1">
      <c r="A239" s="1538" t="s">
        <v>499</v>
      </c>
      <c r="B239" s="1538"/>
      <c r="C239" s="406">
        <f>C226-C227-C236</f>
        <v>0</v>
      </c>
      <c r="D239" s="406">
        <f aca="true" t="shared" si="60" ref="D239:L239">D226-D227-D236</f>
        <v>0</v>
      </c>
      <c r="E239" s="406">
        <f t="shared" si="60"/>
        <v>0</v>
      </c>
      <c r="F239" s="406">
        <f t="shared" si="60"/>
        <v>0</v>
      </c>
      <c r="G239" s="406">
        <f t="shared" si="60"/>
        <v>0</v>
      </c>
      <c r="H239" s="406">
        <f t="shared" si="60"/>
        <v>0</v>
      </c>
      <c r="I239" s="406">
        <f t="shared" si="60"/>
        <v>0</v>
      </c>
      <c r="J239" s="406">
        <f t="shared" si="60"/>
        <v>0</v>
      </c>
      <c r="K239" s="406">
        <f t="shared" si="60"/>
        <v>0</v>
      </c>
      <c r="L239" s="406">
        <f t="shared" si="60"/>
        <v>0</v>
      </c>
      <c r="M239" s="422"/>
      <c r="N239" s="479"/>
      <c r="O239" s="479"/>
      <c r="P239" s="479"/>
    </row>
    <row r="240" spans="1:16" ht="18.75" hidden="1">
      <c r="A240" s="464"/>
      <c r="B240" s="480" t="s">
        <v>518</v>
      </c>
      <c r="C240" s="480"/>
      <c r="D240" s="454"/>
      <c r="E240" s="454"/>
      <c r="F240" s="454"/>
      <c r="G240" s="1564" t="s">
        <v>518</v>
      </c>
      <c r="H240" s="1564"/>
      <c r="I240" s="1564"/>
      <c r="J240" s="1564"/>
      <c r="K240" s="1564"/>
      <c r="L240" s="1564"/>
      <c r="M240" s="467"/>
      <c r="N240" s="467"/>
      <c r="O240" s="467"/>
      <c r="P240" s="467"/>
    </row>
    <row r="241" spans="1:16" ht="18.75" hidden="1">
      <c r="A241" s="1565" t="s">
        <v>4</v>
      </c>
      <c r="B241" s="1565"/>
      <c r="C241" s="1565"/>
      <c r="D241" s="1565"/>
      <c r="E241" s="454"/>
      <c r="F241" s="454"/>
      <c r="G241" s="481"/>
      <c r="H241" s="1566" t="s">
        <v>519</v>
      </c>
      <c r="I241" s="1566"/>
      <c r="J241" s="1566"/>
      <c r="K241" s="1566"/>
      <c r="L241" s="1566"/>
      <c r="M241" s="467"/>
      <c r="N241" s="467"/>
      <c r="O241" s="467"/>
      <c r="P241" s="467"/>
    </row>
    <row r="242" ht="15" hidden="1"/>
    <row r="243" ht="15" hidden="1"/>
    <row r="244" ht="15" hidden="1"/>
    <row r="245" ht="98.25" customHeight="1" hidden="1"/>
    <row r="246" ht="15" hidden="1"/>
    <row r="247" ht="63.75" customHeight="1" hidden="1"/>
    <row r="248" ht="15" hidden="1"/>
    <row r="249" ht="15" hidden="1"/>
    <row r="250" spans="1:13" ht="16.5" hidden="1">
      <c r="A250" s="1549" t="s">
        <v>33</v>
      </c>
      <c r="B250" s="1550"/>
      <c r="C250" s="463"/>
      <c r="D250" s="1526" t="s">
        <v>79</v>
      </c>
      <c r="E250" s="1526"/>
      <c r="F250" s="1526"/>
      <c r="G250" s="1526"/>
      <c r="H250" s="1526"/>
      <c r="I250" s="1526"/>
      <c r="J250" s="1526"/>
      <c r="K250" s="1551"/>
      <c r="L250" s="1551"/>
      <c r="M250" s="467"/>
    </row>
    <row r="251" spans="1:13" ht="16.5" hidden="1">
      <c r="A251" s="1517" t="s">
        <v>342</v>
      </c>
      <c r="B251" s="1517"/>
      <c r="C251" s="1517"/>
      <c r="D251" s="1526" t="s">
        <v>216</v>
      </c>
      <c r="E251" s="1526"/>
      <c r="F251" s="1526"/>
      <c r="G251" s="1526"/>
      <c r="H251" s="1526"/>
      <c r="I251" s="1526"/>
      <c r="J251" s="1526"/>
      <c r="K251" s="1563" t="s">
        <v>510</v>
      </c>
      <c r="L251" s="1563"/>
      <c r="M251" s="464"/>
    </row>
    <row r="252" spans="1:13" ht="16.5" hidden="1">
      <c r="A252" s="1517" t="s">
        <v>343</v>
      </c>
      <c r="B252" s="1517"/>
      <c r="C252" s="413"/>
      <c r="D252" s="1530" t="s">
        <v>11</v>
      </c>
      <c r="E252" s="1530"/>
      <c r="F252" s="1530"/>
      <c r="G252" s="1530"/>
      <c r="H252" s="1530"/>
      <c r="I252" s="1530"/>
      <c r="J252" s="1530"/>
      <c r="K252" s="1551"/>
      <c r="L252" s="1551"/>
      <c r="M252" s="467"/>
    </row>
    <row r="253" spans="1:13" ht="15.75" hidden="1">
      <c r="A253" s="433" t="s">
        <v>119</v>
      </c>
      <c r="B253" s="433"/>
      <c r="C253" s="418"/>
      <c r="D253" s="468"/>
      <c r="E253" s="468"/>
      <c r="F253" s="469"/>
      <c r="G253" s="469"/>
      <c r="H253" s="469"/>
      <c r="I253" s="469"/>
      <c r="J253" s="469"/>
      <c r="K253" s="1567"/>
      <c r="L253" s="1567"/>
      <c r="M253" s="464"/>
    </row>
    <row r="254" spans="1:13" ht="15.75" hidden="1">
      <c r="A254" s="468"/>
      <c r="B254" s="468" t="s">
        <v>94</v>
      </c>
      <c r="C254" s="468"/>
      <c r="D254" s="468"/>
      <c r="E254" s="406">
        <v>122557</v>
      </c>
      <c r="F254" s="406"/>
      <c r="G254" s="406">
        <v>181987</v>
      </c>
      <c r="H254" s="406"/>
      <c r="I254" s="406">
        <v>16298</v>
      </c>
      <c r="J254" s="406"/>
      <c r="K254" s="406">
        <v>251785</v>
      </c>
      <c r="L254" s="406"/>
      <c r="M254" s="464"/>
    </row>
    <row r="255" spans="1:13" ht="15.75" hidden="1">
      <c r="A255" s="1245" t="s">
        <v>71</v>
      </c>
      <c r="B255" s="1246"/>
      <c r="C255" s="1531" t="s">
        <v>38</v>
      </c>
      <c r="D255" s="1553" t="s">
        <v>339</v>
      </c>
      <c r="E255" s="1553"/>
      <c r="F255" s="1553"/>
      <c r="G255" s="1553"/>
      <c r="H255" s="1553"/>
      <c r="I255" s="1553"/>
      <c r="J255" s="1553"/>
      <c r="K255" s="1553"/>
      <c r="L255" s="1553"/>
      <c r="M255" s="467"/>
    </row>
    <row r="256" spans="1:13" ht="15.75" hidden="1">
      <c r="A256" s="1247"/>
      <c r="B256" s="1248"/>
      <c r="C256" s="1531"/>
      <c r="D256" s="1568" t="s">
        <v>207</v>
      </c>
      <c r="E256" s="1569"/>
      <c r="F256" s="1569"/>
      <c r="G256" s="1569"/>
      <c r="H256" s="1569"/>
      <c r="I256" s="1569"/>
      <c r="J256" s="1570"/>
      <c r="K256" s="1571" t="s">
        <v>208</v>
      </c>
      <c r="L256" s="1571" t="s">
        <v>209</v>
      </c>
      <c r="M256" s="464"/>
    </row>
    <row r="257" spans="1:13" ht="15.75" hidden="1">
      <c r="A257" s="1247"/>
      <c r="B257" s="1248"/>
      <c r="C257" s="1531"/>
      <c r="D257" s="1576" t="s">
        <v>37</v>
      </c>
      <c r="E257" s="1577" t="s">
        <v>7</v>
      </c>
      <c r="F257" s="1578"/>
      <c r="G257" s="1578"/>
      <c r="H257" s="1578"/>
      <c r="I257" s="1578"/>
      <c r="J257" s="1579"/>
      <c r="K257" s="1572"/>
      <c r="L257" s="1574"/>
      <c r="M257" s="464"/>
    </row>
    <row r="258" spans="1:16" ht="15.75" hidden="1">
      <c r="A258" s="1535"/>
      <c r="B258" s="1536"/>
      <c r="C258" s="1531"/>
      <c r="D258" s="1576"/>
      <c r="E258" s="470" t="s">
        <v>210</v>
      </c>
      <c r="F258" s="470" t="s">
        <v>211</v>
      </c>
      <c r="G258" s="470" t="s">
        <v>212</v>
      </c>
      <c r="H258" s="470" t="s">
        <v>213</v>
      </c>
      <c r="I258" s="470" t="s">
        <v>344</v>
      </c>
      <c r="J258" s="470" t="s">
        <v>214</v>
      </c>
      <c r="K258" s="1573"/>
      <c r="L258" s="1575"/>
      <c r="M258" s="1529" t="s">
        <v>500</v>
      </c>
      <c r="N258" s="1529"/>
      <c r="O258" s="1529"/>
      <c r="P258" s="1529"/>
    </row>
    <row r="259" spans="1:16" ht="15" hidden="1">
      <c r="A259" s="1533" t="s">
        <v>6</v>
      </c>
      <c r="B259" s="1534"/>
      <c r="C259" s="471">
        <v>1</v>
      </c>
      <c r="D259" s="472">
        <v>2</v>
      </c>
      <c r="E259" s="471">
        <v>3</v>
      </c>
      <c r="F259" s="472">
        <v>4</v>
      </c>
      <c r="G259" s="471">
        <v>5</v>
      </c>
      <c r="H259" s="472">
        <v>6</v>
      </c>
      <c r="I259" s="471">
        <v>7</v>
      </c>
      <c r="J259" s="472">
        <v>8</v>
      </c>
      <c r="K259" s="471">
        <v>9</v>
      </c>
      <c r="L259" s="472">
        <v>10</v>
      </c>
      <c r="M259" s="473" t="s">
        <v>501</v>
      </c>
      <c r="N259" s="474" t="s">
        <v>504</v>
      </c>
      <c r="O259" s="474" t="s">
        <v>502</v>
      </c>
      <c r="P259" s="474" t="s">
        <v>503</v>
      </c>
    </row>
    <row r="260" spans="1:16" ht="24.75" customHeight="1" hidden="1">
      <c r="A260" s="425" t="s">
        <v>0</v>
      </c>
      <c r="B260" s="426" t="s">
        <v>131</v>
      </c>
      <c r="C260" s="404">
        <f>C261+C262</f>
        <v>14401463.6</v>
      </c>
      <c r="D260" s="404">
        <f aca="true" t="shared" si="61" ref="D260:L260">D261+D262</f>
        <v>614882.6</v>
      </c>
      <c r="E260" s="404">
        <f t="shared" si="61"/>
        <v>234185.6</v>
      </c>
      <c r="F260" s="404">
        <f t="shared" si="61"/>
        <v>0</v>
      </c>
      <c r="G260" s="404">
        <f t="shared" si="61"/>
        <v>184987</v>
      </c>
      <c r="H260" s="404">
        <f t="shared" si="61"/>
        <v>34168</v>
      </c>
      <c r="I260" s="404">
        <f t="shared" si="61"/>
        <v>10894</v>
      </c>
      <c r="J260" s="404">
        <f t="shared" si="61"/>
        <v>150648</v>
      </c>
      <c r="K260" s="404">
        <f t="shared" si="61"/>
        <v>13573329</v>
      </c>
      <c r="L260" s="404">
        <f t="shared" si="61"/>
        <v>213252</v>
      </c>
      <c r="M260" s="404" t="e">
        <f>'03'!#REF!+'04'!#REF!</f>
        <v>#REF!</v>
      </c>
      <c r="N260" s="404" t="e">
        <f>C260-M260</f>
        <v>#REF!</v>
      </c>
      <c r="O260" s="404" t="e">
        <f>'07'!#REF!</f>
        <v>#REF!</v>
      </c>
      <c r="P260" s="404" t="e">
        <f>C260-O260</f>
        <v>#REF!</v>
      </c>
    </row>
    <row r="261" spans="1:16" ht="24.75" customHeight="1" hidden="1">
      <c r="A261" s="428">
        <v>1</v>
      </c>
      <c r="B261" s="429" t="s">
        <v>132</v>
      </c>
      <c r="C261" s="404">
        <f>D261+K261+L261</f>
        <v>572626.6</v>
      </c>
      <c r="D261" s="404">
        <f>E261+F261+G261+H261+I261+J261</f>
        <v>320841.6</v>
      </c>
      <c r="E261" s="406">
        <v>117866.6</v>
      </c>
      <c r="F261" s="406">
        <v>0</v>
      </c>
      <c r="G261" s="406">
        <v>181987</v>
      </c>
      <c r="H261" s="406">
        <v>15098</v>
      </c>
      <c r="I261" s="406">
        <v>5890</v>
      </c>
      <c r="J261" s="406">
        <v>0</v>
      </c>
      <c r="K261" s="406">
        <v>197579</v>
      </c>
      <c r="L261" s="406">
        <v>54206</v>
      </c>
      <c r="M261" s="406" t="e">
        <f>'03'!#REF!+'04'!#REF!</f>
        <v>#REF!</v>
      </c>
      <c r="N261" s="406" t="e">
        <f aca="true" t="shared" si="62" ref="N261:N275">C261-M261</f>
        <v>#REF!</v>
      </c>
      <c r="O261" s="406" t="e">
        <f>'07'!#REF!</f>
        <v>#REF!</v>
      </c>
      <c r="P261" s="406" t="e">
        <f aca="true" t="shared" si="63" ref="P261:P275">C261-O261</f>
        <v>#REF!</v>
      </c>
    </row>
    <row r="262" spans="1:16" ht="24.75" customHeight="1" hidden="1">
      <c r="A262" s="428">
        <v>2</v>
      </c>
      <c r="B262" s="429" t="s">
        <v>133</v>
      </c>
      <c r="C262" s="404">
        <f>D262+K262+L262</f>
        <v>13828837</v>
      </c>
      <c r="D262" s="404">
        <f>E262+F262+G262+H262+I262+J262</f>
        <v>294041</v>
      </c>
      <c r="E262" s="406">
        <v>116319</v>
      </c>
      <c r="F262" s="406">
        <v>0</v>
      </c>
      <c r="G262" s="406">
        <v>3000</v>
      </c>
      <c r="H262" s="406">
        <v>19070</v>
      </c>
      <c r="I262" s="406">
        <v>5004</v>
      </c>
      <c r="J262" s="406">
        <v>150648</v>
      </c>
      <c r="K262" s="406">
        <v>13375750</v>
      </c>
      <c r="L262" s="406">
        <v>159046</v>
      </c>
      <c r="M262" s="406" t="e">
        <f>'03'!#REF!+'04'!#REF!</f>
        <v>#REF!</v>
      </c>
      <c r="N262" s="406" t="e">
        <f t="shared" si="62"/>
        <v>#REF!</v>
      </c>
      <c r="O262" s="406" t="e">
        <f>'07'!#REF!</f>
        <v>#REF!</v>
      </c>
      <c r="P262" s="406" t="e">
        <f t="shared" si="63"/>
        <v>#REF!</v>
      </c>
    </row>
    <row r="263" spans="1:16" ht="24.75" customHeight="1" hidden="1">
      <c r="A263" s="394" t="s">
        <v>1</v>
      </c>
      <c r="B263" s="395" t="s">
        <v>134</v>
      </c>
      <c r="C263" s="404">
        <f>D263+K263+L263</f>
        <v>0</v>
      </c>
      <c r="D263" s="404">
        <f>E263+F263+G263+H263+I263+J263</f>
        <v>0</v>
      </c>
      <c r="E263" s="406">
        <v>0</v>
      </c>
      <c r="F263" s="406">
        <v>0</v>
      </c>
      <c r="G263" s="406">
        <v>0</v>
      </c>
      <c r="H263" s="406">
        <v>0</v>
      </c>
      <c r="I263" s="406">
        <v>0</v>
      </c>
      <c r="J263" s="406">
        <v>0</v>
      </c>
      <c r="K263" s="406">
        <v>0</v>
      </c>
      <c r="L263" s="406">
        <v>0</v>
      </c>
      <c r="M263" s="406" t="e">
        <f>'03'!#REF!+'04'!#REF!</f>
        <v>#REF!</v>
      </c>
      <c r="N263" s="406" t="e">
        <f t="shared" si="62"/>
        <v>#REF!</v>
      </c>
      <c r="O263" s="406" t="e">
        <f>'07'!#REF!</f>
        <v>#REF!</v>
      </c>
      <c r="P263" s="406" t="e">
        <f t="shared" si="63"/>
        <v>#REF!</v>
      </c>
    </row>
    <row r="264" spans="1:16" ht="24.75" customHeight="1" hidden="1">
      <c r="A264" s="394" t="s">
        <v>9</v>
      </c>
      <c r="B264" s="395" t="s">
        <v>135</v>
      </c>
      <c r="C264" s="404">
        <f>D264+K264+L264</f>
        <v>0</v>
      </c>
      <c r="D264" s="404">
        <f>E264+F264+G264+H264+I264+J264</f>
        <v>0</v>
      </c>
      <c r="E264" s="406">
        <v>0</v>
      </c>
      <c r="F264" s="406">
        <v>0</v>
      </c>
      <c r="G264" s="406">
        <v>0</v>
      </c>
      <c r="H264" s="406">
        <v>0</v>
      </c>
      <c r="I264" s="406">
        <v>0</v>
      </c>
      <c r="J264" s="406">
        <v>0</v>
      </c>
      <c r="K264" s="406">
        <v>0</v>
      </c>
      <c r="L264" s="406">
        <v>0</v>
      </c>
      <c r="M264" s="406" t="e">
        <f>'03'!#REF!+'04'!#REF!</f>
        <v>#REF!</v>
      </c>
      <c r="N264" s="406" t="e">
        <f t="shared" si="62"/>
        <v>#REF!</v>
      </c>
      <c r="O264" s="406" t="e">
        <f>'07'!#REF!</f>
        <v>#REF!</v>
      </c>
      <c r="P264" s="406" t="e">
        <f t="shared" si="63"/>
        <v>#REF!</v>
      </c>
    </row>
    <row r="265" spans="1:16" ht="24.75" customHeight="1" hidden="1">
      <c r="A265" s="394" t="s">
        <v>136</v>
      </c>
      <c r="B265" s="395" t="s">
        <v>137</v>
      </c>
      <c r="C265" s="404">
        <f>C266+C275</f>
        <v>14401463.6</v>
      </c>
      <c r="D265" s="404">
        <f aca="true" t="shared" si="64" ref="D265:L265">D266+D275</f>
        <v>614882.6</v>
      </c>
      <c r="E265" s="404">
        <f t="shared" si="64"/>
        <v>234185.6</v>
      </c>
      <c r="F265" s="404">
        <f t="shared" si="64"/>
        <v>0</v>
      </c>
      <c r="G265" s="404">
        <f t="shared" si="64"/>
        <v>184987</v>
      </c>
      <c r="H265" s="404">
        <f t="shared" si="64"/>
        <v>34168</v>
      </c>
      <c r="I265" s="404">
        <f t="shared" si="64"/>
        <v>10894</v>
      </c>
      <c r="J265" s="404">
        <f t="shared" si="64"/>
        <v>150648</v>
      </c>
      <c r="K265" s="404">
        <f t="shared" si="64"/>
        <v>13573329</v>
      </c>
      <c r="L265" s="404">
        <f t="shared" si="64"/>
        <v>213252</v>
      </c>
      <c r="M265" s="404" t="e">
        <f>'03'!#REF!+'04'!#REF!</f>
        <v>#REF!</v>
      </c>
      <c r="N265" s="404" t="e">
        <f t="shared" si="62"/>
        <v>#REF!</v>
      </c>
      <c r="O265" s="404" t="e">
        <f>'07'!#REF!</f>
        <v>#REF!</v>
      </c>
      <c r="P265" s="404" t="e">
        <f t="shared" si="63"/>
        <v>#REF!</v>
      </c>
    </row>
    <row r="266" spans="1:16" ht="24.75" customHeight="1" hidden="1">
      <c r="A266" s="394" t="s">
        <v>52</v>
      </c>
      <c r="B266" s="430" t="s">
        <v>138</v>
      </c>
      <c r="C266" s="404">
        <f>SUM(C267:C274)</f>
        <v>14089737</v>
      </c>
      <c r="D266" s="404">
        <f aca="true" t="shared" si="65" ref="D266:L266">SUM(D267:D274)</f>
        <v>303156</v>
      </c>
      <c r="E266" s="404">
        <f t="shared" si="65"/>
        <v>125434</v>
      </c>
      <c r="F266" s="404">
        <f t="shared" si="65"/>
        <v>0</v>
      </c>
      <c r="G266" s="404">
        <f t="shared" si="65"/>
        <v>3000</v>
      </c>
      <c r="H266" s="404">
        <f t="shared" si="65"/>
        <v>19070</v>
      </c>
      <c r="I266" s="404">
        <f t="shared" si="65"/>
        <v>5004</v>
      </c>
      <c r="J266" s="404">
        <f t="shared" si="65"/>
        <v>150648</v>
      </c>
      <c r="K266" s="404">
        <f t="shared" si="65"/>
        <v>13573329</v>
      </c>
      <c r="L266" s="404">
        <f t="shared" si="65"/>
        <v>213252</v>
      </c>
      <c r="M266" s="404" t="e">
        <f>'03'!#REF!+'04'!#REF!</f>
        <v>#REF!</v>
      </c>
      <c r="N266" s="404" t="e">
        <f t="shared" si="62"/>
        <v>#REF!</v>
      </c>
      <c r="O266" s="404" t="e">
        <f>'07'!#REF!</f>
        <v>#REF!</v>
      </c>
      <c r="P266" s="404" t="e">
        <f t="shared" si="63"/>
        <v>#REF!</v>
      </c>
    </row>
    <row r="267" spans="1:16" ht="24.75" customHeight="1" hidden="1">
      <c r="A267" s="428" t="s">
        <v>54</v>
      </c>
      <c r="B267" s="429" t="s">
        <v>139</v>
      </c>
      <c r="C267" s="404">
        <f aca="true" t="shared" si="66" ref="C267:C275">D267+K267+L267</f>
        <v>185401</v>
      </c>
      <c r="D267" s="404">
        <f aca="true" t="shared" si="67" ref="D267:D275">E267+F267+G267+H267+I267+J267</f>
        <v>142000</v>
      </c>
      <c r="E267" s="406">
        <v>10002</v>
      </c>
      <c r="F267" s="406">
        <v>0</v>
      </c>
      <c r="G267" s="406">
        <v>0</v>
      </c>
      <c r="H267" s="406">
        <v>1500</v>
      </c>
      <c r="I267" s="406">
        <v>5004</v>
      </c>
      <c r="J267" s="406">
        <v>125494</v>
      </c>
      <c r="K267" s="406">
        <v>35000</v>
      </c>
      <c r="L267" s="406">
        <v>8401</v>
      </c>
      <c r="M267" s="406" t="e">
        <f>'03'!#REF!+'04'!#REF!</f>
        <v>#REF!</v>
      </c>
      <c r="N267" s="406" t="e">
        <f t="shared" si="62"/>
        <v>#REF!</v>
      </c>
      <c r="O267" s="406" t="e">
        <f>'07'!#REF!</f>
        <v>#REF!</v>
      </c>
      <c r="P267" s="406" t="e">
        <f t="shared" si="63"/>
        <v>#REF!</v>
      </c>
    </row>
    <row r="268" spans="1:16" ht="24.75" customHeight="1" hidden="1">
      <c r="A268" s="428" t="s">
        <v>55</v>
      </c>
      <c r="B268" s="429" t="s">
        <v>140</v>
      </c>
      <c r="C268" s="404">
        <f t="shared" si="66"/>
        <v>0</v>
      </c>
      <c r="D268" s="404">
        <f>E268+F268+G268+H268+I268+J268</f>
        <v>0</v>
      </c>
      <c r="E268" s="406">
        <v>0</v>
      </c>
      <c r="F268" s="406">
        <v>0</v>
      </c>
      <c r="G268" s="406">
        <v>0</v>
      </c>
      <c r="H268" s="406">
        <v>0</v>
      </c>
      <c r="I268" s="406">
        <v>0</v>
      </c>
      <c r="J268" s="406">
        <v>0</v>
      </c>
      <c r="K268" s="406">
        <v>0</v>
      </c>
      <c r="L268" s="406">
        <v>0</v>
      </c>
      <c r="M268" s="406" t="e">
        <f>'03'!#REF!+'04'!#REF!</f>
        <v>#REF!</v>
      </c>
      <c r="N268" s="406" t="e">
        <f t="shared" si="62"/>
        <v>#REF!</v>
      </c>
      <c r="O268" s="406" t="e">
        <f>'07'!#REF!</f>
        <v>#REF!</v>
      </c>
      <c r="P268" s="406" t="e">
        <f t="shared" si="63"/>
        <v>#REF!</v>
      </c>
    </row>
    <row r="269" spans="1:16" ht="24.75" customHeight="1" hidden="1">
      <c r="A269" s="428" t="s">
        <v>141</v>
      </c>
      <c r="B269" s="429" t="s">
        <v>202</v>
      </c>
      <c r="C269" s="404">
        <f t="shared" si="66"/>
        <v>0</v>
      </c>
      <c r="D269" s="404">
        <f t="shared" si="67"/>
        <v>0</v>
      </c>
      <c r="E269" s="406">
        <v>0</v>
      </c>
      <c r="F269" s="406">
        <v>0</v>
      </c>
      <c r="G269" s="406">
        <v>0</v>
      </c>
      <c r="H269" s="406">
        <v>0</v>
      </c>
      <c r="I269" s="406">
        <v>0</v>
      </c>
      <c r="J269" s="406">
        <v>0</v>
      </c>
      <c r="K269" s="406">
        <v>0</v>
      </c>
      <c r="L269" s="406">
        <v>0</v>
      </c>
      <c r="M269" s="406" t="e">
        <f>'03'!#REF!</f>
        <v>#REF!</v>
      </c>
      <c r="N269" s="406" t="e">
        <f t="shared" si="62"/>
        <v>#REF!</v>
      </c>
      <c r="O269" s="406" t="e">
        <f>'07'!#REF!</f>
        <v>#REF!</v>
      </c>
      <c r="P269" s="406" t="e">
        <f t="shared" si="63"/>
        <v>#REF!</v>
      </c>
    </row>
    <row r="270" spans="1:16" ht="24.75" customHeight="1" hidden="1">
      <c r="A270" s="428" t="s">
        <v>143</v>
      </c>
      <c r="B270" s="429" t="s">
        <v>142</v>
      </c>
      <c r="C270" s="404">
        <f t="shared" si="66"/>
        <v>13859195</v>
      </c>
      <c r="D270" s="404">
        <f t="shared" si="67"/>
        <v>161156</v>
      </c>
      <c r="E270" s="406">
        <v>115432</v>
      </c>
      <c r="F270" s="406">
        <v>0</v>
      </c>
      <c r="G270" s="406">
        <v>3000</v>
      </c>
      <c r="H270" s="406">
        <v>17570</v>
      </c>
      <c r="I270" s="406">
        <v>0</v>
      </c>
      <c r="J270" s="406">
        <v>25154</v>
      </c>
      <c r="K270" s="406">
        <v>13538329</v>
      </c>
      <c r="L270" s="406">
        <v>159710</v>
      </c>
      <c r="M270" s="406" t="e">
        <f>'03'!#REF!+'04'!#REF!</f>
        <v>#REF!</v>
      </c>
      <c r="N270" s="406" t="e">
        <f t="shared" si="62"/>
        <v>#REF!</v>
      </c>
      <c r="O270" s="406" t="e">
        <f>'07'!#REF!</f>
        <v>#REF!</v>
      </c>
      <c r="P270" s="406" t="e">
        <f t="shared" si="63"/>
        <v>#REF!</v>
      </c>
    </row>
    <row r="271" spans="1:16" ht="24.75" customHeight="1" hidden="1">
      <c r="A271" s="428" t="s">
        <v>145</v>
      </c>
      <c r="B271" s="429" t="s">
        <v>144</v>
      </c>
      <c r="C271" s="404">
        <f t="shared" si="66"/>
        <v>0</v>
      </c>
      <c r="D271" s="404">
        <f t="shared" si="67"/>
        <v>0</v>
      </c>
      <c r="E271" s="406">
        <v>0</v>
      </c>
      <c r="F271" s="406">
        <v>0</v>
      </c>
      <c r="G271" s="406">
        <v>0</v>
      </c>
      <c r="H271" s="406">
        <v>0</v>
      </c>
      <c r="I271" s="406">
        <v>0</v>
      </c>
      <c r="J271" s="406">
        <v>0</v>
      </c>
      <c r="K271" s="406">
        <v>0</v>
      </c>
      <c r="L271" s="406">
        <v>0</v>
      </c>
      <c r="M271" s="406" t="e">
        <f>'03'!#REF!+'04'!#REF!</f>
        <v>#REF!</v>
      </c>
      <c r="N271" s="406" t="e">
        <f t="shared" si="62"/>
        <v>#REF!</v>
      </c>
      <c r="O271" s="406" t="e">
        <f>'07'!#REF!</f>
        <v>#REF!</v>
      </c>
      <c r="P271" s="406" t="e">
        <f t="shared" si="63"/>
        <v>#REF!</v>
      </c>
    </row>
    <row r="272" spans="1:16" ht="24.75" customHeight="1" hidden="1">
      <c r="A272" s="428" t="s">
        <v>147</v>
      </c>
      <c r="B272" s="429" t="s">
        <v>146</v>
      </c>
      <c r="C272" s="404">
        <f t="shared" si="66"/>
        <v>0</v>
      </c>
      <c r="D272" s="404">
        <f t="shared" si="67"/>
        <v>0</v>
      </c>
      <c r="E272" s="406">
        <v>0</v>
      </c>
      <c r="F272" s="406">
        <v>0</v>
      </c>
      <c r="G272" s="406">
        <v>0</v>
      </c>
      <c r="H272" s="406">
        <v>0</v>
      </c>
      <c r="I272" s="406">
        <v>0</v>
      </c>
      <c r="J272" s="406">
        <v>0</v>
      </c>
      <c r="K272" s="406">
        <v>0</v>
      </c>
      <c r="L272" s="406">
        <v>0</v>
      </c>
      <c r="M272" s="406" t="e">
        <f>'03'!#REF!+'04'!#REF!</f>
        <v>#REF!</v>
      </c>
      <c r="N272" s="406" t="e">
        <f t="shared" si="62"/>
        <v>#REF!</v>
      </c>
      <c r="O272" s="406" t="e">
        <f>'07'!#REF!</f>
        <v>#REF!</v>
      </c>
      <c r="P272" s="406" t="e">
        <f t="shared" si="63"/>
        <v>#REF!</v>
      </c>
    </row>
    <row r="273" spans="1:16" ht="24.75" customHeight="1" hidden="1">
      <c r="A273" s="428" t="s">
        <v>149</v>
      </c>
      <c r="B273" s="431" t="s">
        <v>148</v>
      </c>
      <c r="C273" s="404">
        <f t="shared" si="66"/>
        <v>0</v>
      </c>
      <c r="D273" s="404">
        <f t="shared" si="67"/>
        <v>0</v>
      </c>
      <c r="E273" s="406">
        <v>0</v>
      </c>
      <c r="F273" s="406">
        <v>0</v>
      </c>
      <c r="G273" s="406">
        <v>0</v>
      </c>
      <c r="H273" s="406">
        <v>0</v>
      </c>
      <c r="I273" s="406">
        <v>0</v>
      </c>
      <c r="J273" s="406">
        <v>0</v>
      </c>
      <c r="K273" s="406">
        <v>0</v>
      </c>
      <c r="L273" s="406">
        <v>0</v>
      </c>
      <c r="M273" s="406" t="e">
        <f>'03'!#REF!+'04'!#REF!</f>
        <v>#REF!</v>
      </c>
      <c r="N273" s="406" t="e">
        <f t="shared" si="62"/>
        <v>#REF!</v>
      </c>
      <c r="O273" s="406" t="e">
        <f>'07'!#REF!</f>
        <v>#REF!</v>
      </c>
      <c r="P273" s="406" t="e">
        <f t="shared" si="63"/>
        <v>#REF!</v>
      </c>
    </row>
    <row r="274" spans="1:16" ht="24.75" customHeight="1" hidden="1">
      <c r="A274" s="428" t="s">
        <v>186</v>
      </c>
      <c r="B274" s="429" t="s">
        <v>150</v>
      </c>
      <c r="C274" s="404">
        <f t="shared" si="66"/>
        <v>45141</v>
      </c>
      <c r="D274" s="404">
        <f t="shared" si="67"/>
        <v>0</v>
      </c>
      <c r="E274" s="406">
        <v>0</v>
      </c>
      <c r="F274" s="406">
        <v>0</v>
      </c>
      <c r="G274" s="406">
        <v>0</v>
      </c>
      <c r="H274" s="406">
        <v>0</v>
      </c>
      <c r="I274" s="406">
        <v>0</v>
      </c>
      <c r="J274" s="406">
        <v>0</v>
      </c>
      <c r="K274" s="406">
        <v>0</v>
      </c>
      <c r="L274" s="406">
        <v>45141</v>
      </c>
      <c r="M274" s="406" t="e">
        <f>'03'!#REF!+'04'!#REF!</f>
        <v>#REF!</v>
      </c>
      <c r="N274" s="406" t="e">
        <f t="shared" si="62"/>
        <v>#REF!</v>
      </c>
      <c r="O274" s="406" t="e">
        <f>'07'!#REF!</f>
        <v>#REF!</v>
      </c>
      <c r="P274" s="406" t="e">
        <f t="shared" si="63"/>
        <v>#REF!</v>
      </c>
    </row>
    <row r="275" spans="1:16" ht="24.75" customHeight="1" hidden="1">
      <c r="A275" s="394" t="s">
        <v>53</v>
      </c>
      <c r="B275" s="395" t="s">
        <v>151</v>
      </c>
      <c r="C275" s="404">
        <f t="shared" si="66"/>
        <v>311726.6</v>
      </c>
      <c r="D275" s="404">
        <f t="shared" si="67"/>
        <v>311726.6</v>
      </c>
      <c r="E275" s="406">
        <v>108751.6</v>
      </c>
      <c r="F275" s="406">
        <v>0</v>
      </c>
      <c r="G275" s="406">
        <v>181987</v>
      </c>
      <c r="H275" s="406">
        <v>15098</v>
      </c>
      <c r="I275" s="406">
        <v>5890</v>
      </c>
      <c r="J275" s="406">
        <v>0</v>
      </c>
      <c r="K275" s="406">
        <v>0</v>
      </c>
      <c r="L275" s="406">
        <v>0</v>
      </c>
      <c r="M275" s="404" t="e">
        <f>'03'!#REF!+'04'!#REF!</f>
        <v>#REF!</v>
      </c>
      <c r="N275" s="404" t="e">
        <f t="shared" si="62"/>
        <v>#REF!</v>
      </c>
      <c r="O275" s="404" t="e">
        <f>'07'!#REF!</f>
        <v>#REF!</v>
      </c>
      <c r="P275" s="404" t="e">
        <f t="shared" si="63"/>
        <v>#REF!</v>
      </c>
    </row>
    <row r="276" spans="1:16" ht="24.75" customHeight="1" hidden="1">
      <c r="A276" s="453" t="s">
        <v>76</v>
      </c>
      <c r="B276" s="478" t="s">
        <v>215</v>
      </c>
      <c r="C276" s="462">
        <f>(C267+C268+C269)/C266</f>
        <v>0.013158584862158889</v>
      </c>
      <c r="D276" s="396">
        <f aca="true" t="shared" si="68" ref="D276:L276">(D267+D268+D269)/D266</f>
        <v>0.468405705313436</v>
      </c>
      <c r="E276" s="412">
        <f t="shared" si="68"/>
        <v>0.0797391456861776</v>
      </c>
      <c r="F276" s="412" t="e">
        <f t="shared" si="68"/>
        <v>#DIV/0!</v>
      </c>
      <c r="G276" s="412">
        <f t="shared" si="68"/>
        <v>0</v>
      </c>
      <c r="H276" s="412">
        <f t="shared" si="68"/>
        <v>0.07865757734661773</v>
      </c>
      <c r="I276" s="412">
        <f t="shared" si="68"/>
        <v>1</v>
      </c>
      <c r="J276" s="412">
        <f t="shared" si="68"/>
        <v>0.8330279857681483</v>
      </c>
      <c r="K276" s="412">
        <f t="shared" si="68"/>
        <v>0.002578586284912124</v>
      </c>
      <c r="L276" s="412">
        <f t="shared" si="68"/>
        <v>0.03939470673194155</v>
      </c>
      <c r="M276" s="422"/>
      <c r="N276" s="479"/>
      <c r="O276" s="479"/>
      <c r="P276" s="479"/>
    </row>
    <row r="277" spans="1:16" ht="17.25" hidden="1">
      <c r="A277" s="1537" t="s">
        <v>498</v>
      </c>
      <c r="B277" s="1537"/>
      <c r="C277" s="406">
        <f>C260-C263-C264-C265</f>
        <v>0</v>
      </c>
      <c r="D277" s="406">
        <f aca="true" t="shared" si="69" ref="D277:L277">D260-D263-D264-D265</f>
        <v>0</v>
      </c>
      <c r="E277" s="406">
        <f t="shared" si="69"/>
        <v>0</v>
      </c>
      <c r="F277" s="406">
        <f t="shared" si="69"/>
        <v>0</v>
      </c>
      <c r="G277" s="406">
        <f t="shared" si="69"/>
        <v>0</v>
      </c>
      <c r="H277" s="406">
        <f t="shared" si="69"/>
        <v>0</v>
      </c>
      <c r="I277" s="406">
        <f t="shared" si="69"/>
        <v>0</v>
      </c>
      <c r="J277" s="406">
        <f t="shared" si="69"/>
        <v>0</v>
      </c>
      <c r="K277" s="406">
        <f t="shared" si="69"/>
        <v>0</v>
      </c>
      <c r="L277" s="406">
        <f t="shared" si="69"/>
        <v>0</v>
      </c>
      <c r="M277" s="422"/>
      <c r="N277" s="479"/>
      <c r="O277" s="479"/>
      <c r="P277" s="479"/>
    </row>
    <row r="278" spans="1:16" ht="17.25" hidden="1">
      <c r="A278" s="1538" t="s">
        <v>499</v>
      </c>
      <c r="B278" s="1538"/>
      <c r="C278" s="406">
        <f>C265-C266-C275</f>
        <v>0</v>
      </c>
      <c r="D278" s="406">
        <f aca="true" t="shared" si="70" ref="D278:L278">D265-D266-D275</f>
        <v>0</v>
      </c>
      <c r="E278" s="406">
        <f t="shared" si="70"/>
        <v>0</v>
      </c>
      <c r="F278" s="406">
        <f t="shared" si="70"/>
        <v>0</v>
      </c>
      <c r="G278" s="406">
        <f t="shared" si="70"/>
        <v>0</v>
      </c>
      <c r="H278" s="406">
        <f t="shared" si="70"/>
        <v>0</v>
      </c>
      <c r="I278" s="406">
        <f t="shared" si="70"/>
        <v>0</v>
      </c>
      <c r="J278" s="406">
        <f t="shared" si="70"/>
        <v>0</v>
      </c>
      <c r="K278" s="406">
        <f t="shared" si="70"/>
        <v>0</v>
      </c>
      <c r="L278" s="406">
        <f t="shared" si="70"/>
        <v>0</v>
      </c>
      <c r="M278" s="422"/>
      <c r="N278" s="479"/>
      <c r="O278" s="479"/>
      <c r="P278" s="479"/>
    </row>
    <row r="279" spans="1:16" ht="18.75" hidden="1">
      <c r="A279" s="464"/>
      <c r="B279" s="480" t="s">
        <v>518</v>
      </c>
      <c r="C279" s="480"/>
      <c r="D279" s="454"/>
      <c r="E279" s="454"/>
      <c r="F279" s="454"/>
      <c r="G279" s="1564" t="s">
        <v>518</v>
      </c>
      <c r="H279" s="1564"/>
      <c r="I279" s="1564"/>
      <c r="J279" s="1564"/>
      <c r="K279" s="1564"/>
      <c r="L279" s="1564"/>
      <c r="M279" s="467"/>
      <c r="N279" s="467"/>
      <c r="O279" s="467"/>
      <c r="P279" s="467"/>
    </row>
    <row r="280" spans="1:16" ht="18.75" hidden="1">
      <c r="A280" s="1565" t="s">
        <v>4</v>
      </c>
      <c r="B280" s="1565"/>
      <c r="C280" s="1565"/>
      <c r="D280" s="1565"/>
      <c r="E280" s="454"/>
      <c r="F280" s="454"/>
      <c r="G280" s="481"/>
      <c r="H280" s="1566" t="s">
        <v>519</v>
      </c>
      <c r="I280" s="1566"/>
      <c r="J280" s="1566"/>
      <c r="K280" s="1566"/>
      <c r="L280" s="1566"/>
      <c r="M280" s="467"/>
      <c r="N280" s="467"/>
      <c r="O280" s="467"/>
      <c r="P280" s="467"/>
    </row>
    <row r="281" ht="15" hidden="1"/>
    <row r="282" ht="15" hidden="1"/>
    <row r="283" ht="15" hidden="1"/>
    <row r="284" ht="15" hidden="1"/>
    <row r="285" ht="15" hidden="1"/>
    <row r="286" ht="15" hidden="1"/>
    <row r="287" ht="15" hidden="1"/>
    <row r="288" ht="15" hidden="1"/>
    <row r="289" ht="15" hidden="1"/>
    <row r="290" ht="15" hidden="1"/>
    <row r="291" ht="15" hidden="1"/>
    <row r="292" spans="1:13" ht="16.5" hidden="1">
      <c r="A292" s="1549" t="s">
        <v>33</v>
      </c>
      <c r="B292" s="1550"/>
      <c r="C292" s="463"/>
      <c r="D292" s="1526" t="s">
        <v>79</v>
      </c>
      <c r="E292" s="1526"/>
      <c r="F292" s="1526"/>
      <c r="G292" s="1526"/>
      <c r="H292" s="1526"/>
      <c r="I292" s="1526"/>
      <c r="J292" s="1526"/>
      <c r="K292" s="1551"/>
      <c r="L292" s="1551"/>
      <c r="M292" s="467"/>
    </row>
    <row r="293" spans="1:13" ht="16.5" hidden="1">
      <c r="A293" s="1517" t="s">
        <v>342</v>
      </c>
      <c r="B293" s="1517"/>
      <c r="C293" s="1517"/>
      <c r="D293" s="1526" t="s">
        <v>216</v>
      </c>
      <c r="E293" s="1526"/>
      <c r="F293" s="1526"/>
      <c r="G293" s="1526"/>
      <c r="H293" s="1526"/>
      <c r="I293" s="1526"/>
      <c r="J293" s="1526"/>
      <c r="K293" s="1563" t="s">
        <v>511</v>
      </c>
      <c r="L293" s="1563"/>
      <c r="M293" s="464"/>
    </row>
    <row r="294" spans="1:13" ht="16.5" hidden="1">
      <c r="A294" s="1517" t="s">
        <v>343</v>
      </c>
      <c r="B294" s="1517"/>
      <c r="C294" s="413"/>
      <c r="D294" s="1530" t="s">
        <v>11</v>
      </c>
      <c r="E294" s="1530"/>
      <c r="F294" s="1530"/>
      <c r="G294" s="1530"/>
      <c r="H294" s="1530"/>
      <c r="I294" s="1530"/>
      <c r="J294" s="1530"/>
      <c r="K294" s="1551"/>
      <c r="L294" s="1551"/>
      <c r="M294" s="467"/>
    </row>
    <row r="295" spans="1:13" ht="15.75" hidden="1">
      <c r="A295" s="433" t="s">
        <v>119</v>
      </c>
      <c r="B295" s="433"/>
      <c r="C295" s="418"/>
      <c r="D295" s="468"/>
      <c r="E295" s="468"/>
      <c r="F295" s="469"/>
      <c r="G295" s="469"/>
      <c r="H295" s="469"/>
      <c r="I295" s="469"/>
      <c r="J295" s="469"/>
      <c r="K295" s="1567"/>
      <c r="L295" s="1567"/>
      <c r="M295" s="464"/>
    </row>
    <row r="296" spans="1:13" ht="15.75" hidden="1">
      <c r="A296" s="468"/>
      <c r="B296" s="468" t="s">
        <v>94</v>
      </c>
      <c r="C296" s="468"/>
      <c r="D296" s="468"/>
      <c r="E296" s="468"/>
      <c r="F296" s="468"/>
      <c r="G296" s="468"/>
      <c r="H296" s="468"/>
      <c r="I296" s="468"/>
      <c r="J296" s="468"/>
      <c r="K296" s="1552"/>
      <c r="L296" s="1552"/>
      <c r="M296" s="464"/>
    </row>
    <row r="297" spans="1:13" ht="15.75" hidden="1">
      <c r="A297" s="1245" t="s">
        <v>71</v>
      </c>
      <c r="B297" s="1246"/>
      <c r="C297" s="1531" t="s">
        <v>38</v>
      </c>
      <c r="D297" s="1553" t="s">
        <v>339</v>
      </c>
      <c r="E297" s="1553"/>
      <c r="F297" s="1553"/>
      <c r="G297" s="1553"/>
      <c r="H297" s="1553"/>
      <c r="I297" s="1553"/>
      <c r="J297" s="1553"/>
      <c r="K297" s="1553"/>
      <c r="L297" s="1553"/>
      <c r="M297" s="467"/>
    </row>
    <row r="298" spans="1:13" ht="15.75" hidden="1">
      <c r="A298" s="1247"/>
      <c r="B298" s="1248"/>
      <c r="C298" s="1531"/>
      <c r="D298" s="1568" t="s">
        <v>207</v>
      </c>
      <c r="E298" s="1569"/>
      <c r="F298" s="1569"/>
      <c r="G298" s="1569"/>
      <c r="H298" s="1569"/>
      <c r="I298" s="1569"/>
      <c r="J298" s="1570"/>
      <c r="K298" s="1571" t="s">
        <v>208</v>
      </c>
      <c r="L298" s="1571" t="s">
        <v>209</v>
      </c>
      <c r="M298" s="464"/>
    </row>
    <row r="299" spans="1:13" ht="15.75" hidden="1">
      <c r="A299" s="1247"/>
      <c r="B299" s="1248"/>
      <c r="C299" s="1531"/>
      <c r="D299" s="1576" t="s">
        <v>37</v>
      </c>
      <c r="E299" s="1577" t="s">
        <v>7</v>
      </c>
      <c r="F299" s="1578"/>
      <c r="G299" s="1578"/>
      <c r="H299" s="1578"/>
      <c r="I299" s="1578"/>
      <c r="J299" s="1579"/>
      <c r="K299" s="1572"/>
      <c r="L299" s="1574"/>
      <c r="M299" s="464"/>
    </row>
    <row r="300" spans="1:16" ht="15.75" hidden="1">
      <c r="A300" s="1535"/>
      <c r="B300" s="1536"/>
      <c r="C300" s="1531"/>
      <c r="D300" s="1576"/>
      <c r="E300" s="470" t="s">
        <v>210</v>
      </c>
      <c r="F300" s="470" t="s">
        <v>211</v>
      </c>
      <c r="G300" s="470" t="s">
        <v>212</v>
      </c>
      <c r="H300" s="470" t="s">
        <v>213</v>
      </c>
      <c r="I300" s="470" t="s">
        <v>344</v>
      </c>
      <c r="J300" s="470" t="s">
        <v>214</v>
      </c>
      <c r="K300" s="1573"/>
      <c r="L300" s="1575"/>
      <c r="M300" s="1529" t="s">
        <v>500</v>
      </c>
      <c r="N300" s="1529"/>
      <c r="O300" s="1529"/>
      <c r="P300" s="1529"/>
    </row>
    <row r="301" spans="1:16" ht="15" hidden="1">
      <c r="A301" s="1533" t="s">
        <v>6</v>
      </c>
      <c r="B301" s="1534"/>
      <c r="C301" s="471">
        <v>1</v>
      </c>
      <c r="D301" s="472">
        <v>2</v>
      </c>
      <c r="E301" s="471">
        <v>3</v>
      </c>
      <c r="F301" s="472">
        <v>4</v>
      </c>
      <c r="G301" s="471">
        <v>5</v>
      </c>
      <c r="H301" s="472">
        <v>6</v>
      </c>
      <c r="I301" s="471">
        <v>7</v>
      </c>
      <c r="J301" s="472">
        <v>8</v>
      </c>
      <c r="K301" s="471">
        <v>9</v>
      </c>
      <c r="L301" s="472">
        <v>10</v>
      </c>
      <c r="M301" s="473" t="s">
        <v>501</v>
      </c>
      <c r="N301" s="474" t="s">
        <v>504</v>
      </c>
      <c r="O301" s="474" t="s">
        <v>502</v>
      </c>
      <c r="P301" s="474" t="s">
        <v>503</v>
      </c>
    </row>
    <row r="302" spans="1:16" ht="24.75" customHeight="1" hidden="1">
      <c r="A302" s="425" t="s">
        <v>0</v>
      </c>
      <c r="B302" s="426" t="s">
        <v>131</v>
      </c>
      <c r="C302" s="404">
        <f>C303+C304</f>
        <v>394761</v>
      </c>
      <c r="D302" s="404">
        <f aca="true" t="shared" si="71" ref="D302:L302">D303+D304</f>
        <v>89648</v>
      </c>
      <c r="E302" s="404">
        <f t="shared" si="71"/>
        <v>48513</v>
      </c>
      <c r="F302" s="404">
        <f t="shared" si="71"/>
        <v>0</v>
      </c>
      <c r="G302" s="404">
        <f t="shared" si="71"/>
        <v>34900</v>
      </c>
      <c r="H302" s="404">
        <f t="shared" si="71"/>
        <v>200</v>
      </c>
      <c r="I302" s="404">
        <f t="shared" si="71"/>
        <v>0</v>
      </c>
      <c r="J302" s="404">
        <f t="shared" si="71"/>
        <v>6035</v>
      </c>
      <c r="K302" s="404">
        <f t="shared" si="71"/>
        <v>0</v>
      </c>
      <c r="L302" s="404">
        <f t="shared" si="71"/>
        <v>305113</v>
      </c>
      <c r="M302" s="404" t="e">
        <f>'03'!#REF!+'04'!#REF!</f>
        <v>#REF!</v>
      </c>
      <c r="N302" s="404" t="e">
        <f>C302-M302</f>
        <v>#REF!</v>
      </c>
      <c r="O302" s="404" t="e">
        <f>'07'!#REF!</f>
        <v>#REF!</v>
      </c>
      <c r="P302" s="404" t="e">
        <f>C302-O302</f>
        <v>#REF!</v>
      </c>
    </row>
    <row r="303" spans="1:16" ht="24.75" customHeight="1" hidden="1">
      <c r="A303" s="428">
        <v>1</v>
      </c>
      <c r="B303" s="429" t="s">
        <v>132</v>
      </c>
      <c r="C303" s="404">
        <f>D303+K303+L303</f>
        <v>139828</v>
      </c>
      <c r="D303" s="404">
        <f>E303+F303+G303+H303+I303+J303</f>
        <v>48342</v>
      </c>
      <c r="E303" s="406">
        <v>28442</v>
      </c>
      <c r="F303" s="406"/>
      <c r="G303" s="406">
        <v>19900</v>
      </c>
      <c r="H303" s="406"/>
      <c r="I303" s="406"/>
      <c r="J303" s="406"/>
      <c r="K303" s="406"/>
      <c r="L303" s="406">
        <v>91486</v>
      </c>
      <c r="M303" s="406" t="e">
        <f>'03'!#REF!+'04'!#REF!</f>
        <v>#REF!</v>
      </c>
      <c r="N303" s="406" t="e">
        <f aca="true" t="shared" si="72" ref="N303:N317">C303-M303</f>
        <v>#REF!</v>
      </c>
      <c r="O303" s="406" t="e">
        <f>'07'!#REF!</f>
        <v>#REF!</v>
      </c>
      <c r="P303" s="406" t="e">
        <f aca="true" t="shared" si="73" ref="P303:P317">C303-O303</f>
        <v>#REF!</v>
      </c>
    </row>
    <row r="304" spans="1:16" ht="24.75" customHeight="1" hidden="1">
      <c r="A304" s="428">
        <v>2</v>
      </c>
      <c r="B304" s="429" t="s">
        <v>133</v>
      </c>
      <c r="C304" s="404">
        <f>D304+K304+L304</f>
        <v>254933</v>
      </c>
      <c r="D304" s="404">
        <f>E304+F304+G304+H304+I304+J304</f>
        <v>41306</v>
      </c>
      <c r="E304" s="406">
        <v>20071</v>
      </c>
      <c r="F304" s="406">
        <v>0</v>
      </c>
      <c r="G304" s="406">
        <v>15000</v>
      </c>
      <c r="H304" s="406">
        <v>200</v>
      </c>
      <c r="I304" s="406">
        <v>0</v>
      </c>
      <c r="J304" s="406">
        <v>6035</v>
      </c>
      <c r="K304" s="406">
        <v>0</v>
      </c>
      <c r="L304" s="406">
        <v>213627</v>
      </c>
      <c r="M304" s="406" t="e">
        <f>'03'!#REF!+'04'!#REF!</f>
        <v>#REF!</v>
      </c>
      <c r="N304" s="406" t="e">
        <f t="shared" si="72"/>
        <v>#REF!</v>
      </c>
      <c r="O304" s="406" t="e">
        <f>'07'!#REF!</f>
        <v>#REF!</v>
      </c>
      <c r="P304" s="406" t="e">
        <f t="shared" si="73"/>
        <v>#REF!</v>
      </c>
    </row>
    <row r="305" spans="1:16" ht="24.75" customHeight="1" hidden="1">
      <c r="A305" s="394" t="s">
        <v>1</v>
      </c>
      <c r="B305" s="395" t="s">
        <v>134</v>
      </c>
      <c r="C305" s="404">
        <f>D305+K305+L305</f>
        <v>0</v>
      </c>
      <c r="D305" s="404">
        <f>E305+F305+G305+H305+I305+J305</f>
        <v>0</v>
      </c>
      <c r="E305" s="406">
        <v>0</v>
      </c>
      <c r="F305" s="406">
        <v>0</v>
      </c>
      <c r="G305" s="406">
        <v>0</v>
      </c>
      <c r="H305" s="406">
        <v>0</v>
      </c>
      <c r="I305" s="406">
        <v>0</v>
      </c>
      <c r="J305" s="406">
        <v>0</v>
      </c>
      <c r="K305" s="406">
        <v>0</v>
      </c>
      <c r="L305" s="406">
        <v>0</v>
      </c>
      <c r="M305" s="406" t="e">
        <f>'03'!#REF!+'04'!#REF!</f>
        <v>#REF!</v>
      </c>
      <c r="N305" s="406" t="e">
        <f t="shared" si="72"/>
        <v>#REF!</v>
      </c>
      <c r="O305" s="406" t="e">
        <f>'07'!#REF!</f>
        <v>#REF!</v>
      </c>
      <c r="P305" s="406" t="e">
        <f t="shared" si="73"/>
        <v>#REF!</v>
      </c>
    </row>
    <row r="306" spans="1:16" ht="24.75" customHeight="1" hidden="1">
      <c r="A306" s="394" t="s">
        <v>9</v>
      </c>
      <c r="B306" s="395" t="s">
        <v>135</v>
      </c>
      <c r="C306" s="404">
        <f>D306+K306+L306</f>
        <v>0</v>
      </c>
      <c r="D306" s="404">
        <f>E306+F306+G306+H306+I306+J306</f>
        <v>0</v>
      </c>
      <c r="E306" s="406">
        <v>0</v>
      </c>
      <c r="F306" s="406">
        <v>0</v>
      </c>
      <c r="G306" s="406">
        <v>0</v>
      </c>
      <c r="H306" s="406">
        <v>0</v>
      </c>
      <c r="I306" s="406">
        <v>0</v>
      </c>
      <c r="J306" s="406">
        <v>0</v>
      </c>
      <c r="K306" s="406">
        <v>0</v>
      </c>
      <c r="L306" s="406">
        <v>0</v>
      </c>
      <c r="M306" s="406" t="e">
        <f>'03'!#REF!+'04'!#REF!</f>
        <v>#REF!</v>
      </c>
      <c r="N306" s="406" t="e">
        <f t="shared" si="72"/>
        <v>#REF!</v>
      </c>
      <c r="O306" s="406" t="e">
        <f>'07'!#REF!</f>
        <v>#REF!</v>
      </c>
      <c r="P306" s="406" t="e">
        <f t="shared" si="73"/>
        <v>#REF!</v>
      </c>
    </row>
    <row r="307" spans="1:16" ht="24.75" customHeight="1" hidden="1">
      <c r="A307" s="394" t="s">
        <v>136</v>
      </c>
      <c r="B307" s="395" t="s">
        <v>137</v>
      </c>
      <c r="C307" s="404">
        <f>C308+C317</f>
        <v>394761</v>
      </c>
      <c r="D307" s="404">
        <f aca="true" t="shared" si="74" ref="D307:L307">D308+D317</f>
        <v>89648</v>
      </c>
      <c r="E307" s="404">
        <f t="shared" si="74"/>
        <v>48513</v>
      </c>
      <c r="F307" s="404">
        <f t="shared" si="74"/>
        <v>0</v>
      </c>
      <c r="G307" s="404">
        <f t="shared" si="74"/>
        <v>34900</v>
      </c>
      <c r="H307" s="404">
        <f t="shared" si="74"/>
        <v>200</v>
      </c>
      <c r="I307" s="404">
        <f t="shared" si="74"/>
        <v>0</v>
      </c>
      <c r="J307" s="404">
        <f t="shared" si="74"/>
        <v>6035</v>
      </c>
      <c r="K307" s="404">
        <f t="shared" si="74"/>
        <v>0</v>
      </c>
      <c r="L307" s="404">
        <f t="shared" si="74"/>
        <v>305113</v>
      </c>
      <c r="M307" s="404" t="e">
        <f>'03'!#REF!+'04'!#REF!</f>
        <v>#REF!</v>
      </c>
      <c r="N307" s="404" t="e">
        <f t="shared" si="72"/>
        <v>#REF!</v>
      </c>
      <c r="O307" s="404" t="e">
        <f>'07'!#REF!</f>
        <v>#REF!</v>
      </c>
      <c r="P307" s="404" t="e">
        <f t="shared" si="73"/>
        <v>#REF!</v>
      </c>
    </row>
    <row r="308" spans="1:16" ht="24.75" customHeight="1" hidden="1">
      <c r="A308" s="394" t="s">
        <v>52</v>
      </c>
      <c r="B308" s="430" t="s">
        <v>138</v>
      </c>
      <c r="C308" s="404">
        <f>SUM(C309:C316)</f>
        <v>346419</v>
      </c>
      <c r="D308" s="404">
        <f aca="true" t="shared" si="75" ref="D308:L308">SUM(D309:D316)</f>
        <v>41306</v>
      </c>
      <c r="E308" s="404">
        <f t="shared" si="75"/>
        <v>20071</v>
      </c>
      <c r="F308" s="404">
        <f t="shared" si="75"/>
        <v>0</v>
      </c>
      <c r="G308" s="404">
        <f t="shared" si="75"/>
        <v>15000</v>
      </c>
      <c r="H308" s="404">
        <f t="shared" si="75"/>
        <v>200</v>
      </c>
      <c r="I308" s="404">
        <f t="shared" si="75"/>
        <v>0</v>
      </c>
      <c r="J308" s="404">
        <f t="shared" si="75"/>
        <v>6035</v>
      </c>
      <c r="K308" s="404">
        <f t="shared" si="75"/>
        <v>0</v>
      </c>
      <c r="L308" s="404">
        <f t="shared" si="75"/>
        <v>305113</v>
      </c>
      <c r="M308" s="404" t="e">
        <f>'03'!#REF!+'04'!#REF!</f>
        <v>#REF!</v>
      </c>
      <c r="N308" s="404" t="e">
        <f t="shared" si="72"/>
        <v>#REF!</v>
      </c>
      <c r="O308" s="404" t="e">
        <f>'07'!#REF!</f>
        <v>#REF!</v>
      </c>
      <c r="P308" s="404" t="e">
        <f t="shared" si="73"/>
        <v>#REF!</v>
      </c>
    </row>
    <row r="309" spans="1:16" ht="24.75" customHeight="1" hidden="1">
      <c r="A309" s="428" t="s">
        <v>54</v>
      </c>
      <c r="B309" s="429" t="s">
        <v>139</v>
      </c>
      <c r="C309" s="404">
        <f aca="true" t="shared" si="76" ref="C309:C317">D309+K309+L309</f>
        <v>110738</v>
      </c>
      <c r="D309" s="404">
        <f aca="true" t="shared" si="77" ref="D309:D317">E309+F309+G309+H309+I309+J309</f>
        <v>31691</v>
      </c>
      <c r="E309" s="406">
        <v>12757</v>
      </c>
      <c r="F309" s="406">
        <v>0</v>
      </c>
      <c r="G309" s="406">
        <v>13000</v>
      </c>
      <c r="H309" s="406">
        <v>200</v>
      </c>
      <c r="I309" s="406">
        <v>0</v>
      </c>
      <c r="J309" s="406">
        <v>5734</v>
      </c>
      <c r="K309" s="406">
        <v>0</v>
      </c>
      <c r="L309" s="406">
        <v>79047</v>
      </c>
      <c r="M309" s="406" t="e">
        <f>'03'!#REF!+'04'!#REF!</f>
        <v>#REF!</v>
      </c>
      <c r="N309" s="406" t="e">
        <f t="shared" si="72"/>
        <v>#REF!</v>
      </c>
      <c r="O309" s="406" t="e">
        <f>'07'!#REF!</f>
        <v>#REF!</v>
      </c>
      <c r="P309" s="406" t="e">
        <f t="shared" si="73"/>
        <v>#REF!</v>
      </c>
    </row>
    <row r="310" spans="1:16" ht="24.75" customHeight="1" hidden="1">
      <c r="A310" s="428" t="s">
        <v>55</v>
      </c>
      <c r="B310" s="429" t="s">
        <v>140</v>
      </c>
      <c r="C310" s="404">
        <f t="shared" si="76"/>
        <v>0</v>
      </c>
      <c r="D310" s="404">
        <f t="shared" si="77"/>
        <v>0</v>
      </c>
      <c r="E310" s="406">
        <v>0</v>
      </c>
      <c r="F310" s="406">
        <v>0</v>
      </c>
      <c r="G310" s="406">
        <v>0</v>
      </c>
      <c r="H310" s="406">
        <v>0</v>
      </c>
      <c r="I310" s="406">
        <v>0</v>
      </c>
      <c r="J310" s="406">
        <v>0</v>
      </c>
      <c r="K310" s="406">
        <v>0</v>
      </c>
      <c r="L310" s="406">
        <v>0</v>
      </c>
      <c r="M310" s="406" t="e">
        <f>'03'!#REF!+'04'!#REF!</f>
        <v>#REF!</v>
      </c>
      <c r="N310" s="406" t="e">
        <f t="shared" si="72"/>
        <v>#REF!</v>
      </c>
      <c r="O310" s="406" t="e">
        <f>'07'!#REF!</f>
        <v>#REF!</v>
      </c>
      <c r="P310" s="406" t="e">
        <f t="shared" si="73"/>
        <v>#REF!</v>
      </c>
    </row>
    <row r="311" spans="1:16" ht="24.75" customHeight="1" hidden="1">
      <c r="A311" s="428" t="s">
        <v>141</v>
      </c>
      <c r="B311" s="429" t="s">
        <v>202</v>
      </c>
      <c r="C311" s="404">
        <f t="shared" si="76"/>
        <v>0</v>
      </c>
      <c r="D311" s="404">
        <f t="shared" si="77"/>
        <v>0</v>
      </c>
      <c r="E311" s="406">
        <v>0</v>
      </c>
      <c r="F311" s="406">
        <v>0</v>
      </c>
      <c r="G311" s="406">
        <v>0</v>
      </c>
      <c r="H311" s="406">
        <v>0</v>
      </c>
      <c r="I311" s="406">
        <v>0</v>
      </c>
      <c r="J311" s="406">
        <v>0</v>
      </c>
      <c r="K311" s="406">
        <v>0</v>
      </c>
      <c r="L311" s="406">
        <v>0</v>
      </c>
      <c r="M311" s="406" t="e">
        <f>'03'!#REF!</f>
        <v>#REF!</v>
      </c>
      <c r="N311" s="406" t="e">
        <f t="shared" si="72"/>
        <v>#REF!</v>
      </c>
      <c r="O311" s="406" t="e">
        <f>'07'!#REF!</f>
        <v>#REF!</v>
      </c>
      <c r="P311" s="406" t="e">
        <f t="shared" si="73"/>
        <v>#REF!</v>
      </c>
    </row>
    <row r="312" spans="1:16" ht="24.75" customHeight="1" hidden="1">
      <c r="A312" s="428" t="s">
        <v>143</v>
      </c>
      <c r="B312" s="429" t="s">
        <v>142</v>
      </c>
      <c r="C312" s="404">
        <f t="shared" si="76"/>
        <v>165795</v>
      </c>
      <c r="D312" s="404">
        <f t="shared" si="77"/>
        <v>9615</v>
      </c>
      <c r="E312" s="406">
        <v>7314</v>
      </c>
      <c r="F312" s="406">
        <v>0</v>
      </c>
      <c r="G312" s="406">
        <v>2000</v>
      </c>
      <c r="H312" s="406">
        <v>0</v>
      </c>
      <c r="I312" s="406">
        <v>0</v>
      </c>
      <c r="J312" s="406">
        <v>301</v>
      </c>
      <c r="K312" s="406">
        <v>0</v>
      </c>
      <c r="L312" s="406">
        <v>156180</v>
      </c>
      <c r="M312" s="406" t="e">
        <f>'03'!#REF!+'04'!#REF!</f>
        <v>#REF!</v>
      </c>
      <c r="N312" s="406" t="e">
        <f t="shared" si="72"/>
        <v>#REF!</v>
      </c>
      <c r="O312" s="406" t="e">
        <f>'07'!#REF!</f>
        <v>#REF!</v>
      </c>
      <c r="P312" s="406" t="e">
        <f t="shared" si="73"/>
        <v>#REF!</v>
      </c>
    </row>
    <row r="313" spans="1:16" ht="24.75" customHeight="1" hidden="1">
      <c r="A313" s="428" t="s">
        <v>145</v>
      </c>
      <c r="B313" s="429" t="s">
        <v>144</v>
      </c>
      <c r="C313" s="404">
        <f t="shared" si="76"/>
        <v>69886</v>
      </c>
      <c r="D313" s="404">
        <f t="shared" si="77"/>
        <v>0</v>
      </c>
      <c r="E313" s="406">
        <v>0</v>
      </c>
      <c r="F313" s="406">
        <v>0</v>
      </c>
      <c r="G313" s="406">
        <v>0</v>
      </c>
      <c r="H313" s="406">
        <v>0</v>
      </c>
      <c r="I313" s="406">
        <v>0</v>
      </c>
      <c r="J313" s="406">
        <v>0</v>
      </c>
      <c r="K313" s="406">
        <v>0</v>
      </c>
      <c r="L313" s="406">
        <v>69886</v>
      </c>
      <c r="M313" s="406" t="e">
        <f>'03'!#REF!+'04'!#REF!</f>
        <v>#REF!</v>
      </c>
      <c r="N313" s="406" t="e">
        <f t="shared" si="72"/>
        <v>#REF!</v>
      </c>
      <c r="O313" s="406" t="e">
        <f>'07'!#REF!</f>
        <v>#REF!</v>
      </c>
      <c r="P313" s="406" t="e">
        <f t="shared" si="73"/>
        <v>#REF!</v>
      </c>
    </row>
    <row r="314" spans="1:16" ht="24.75" customHeight="1" hidden="1">
      <c r="A314" s="428" t="s">
        <v>147</v>
      </c>
      <c r="B314" s="429" t="s">
        <v>146</v>
      </c>
      <c r="C314" s="404">
        <f t="shared" si="76"/>
        <v>0</v>
      </c>
      <c r="D314" s="404">
        <f t="shared" si="77"/>
        <v>0</v>
      </c>
      <c r="E314" s="406">
        <v>0</v>
      </c>
      <c r="F314" s="406">
        <v>0</v>
      </c>
      <c r="G314" s="406">
        <v>0</v>
      </c>
      <c r="H314" s="406">
        <v>0</v>
      </c>
      <c r="I314" s="406">
        <v>0</v>
      </c>
      <c r="J314" s="406">
        <v>0</v>
      </c>
      <c r="K314" s="406">
        <v>0</v>
      </c>
      <c r="L314" s="406">
        <v>0</v>
      </c>
      <c r="M314" s="406" t="e">
        <f>'03'!#REF!+'04'!#REF!</f>
        <v>#REF!</v>
      </c>
      <c r="N314" s="406" t="e">
        <f t="shared" si="72"/>
        <v>#REF!</v>
      </c>
      <c r="O314" s="406" t="e">
        <f>'07'!#REF!</f>
        <v>#REF!</v>
      </c>
      <c r="P314" s="406" t="e">
        <f t="shared" si="73"/>
        <v>#REF!</v>
      </c>
    </row>
    <row r="315" spans="1:16" ht="24.75" customHeight="1" hidden="1">
      <c r="A315" s="428" t="s">
        <v>149</v>
      </c>
      <c r="B315" s="431" t="s">
        <v>148</v>
      </c>
      <c r="C315" s="404">
        <f t="shared" si="76"/>
        <v>0</v>
      </c>
      <c r="D315" s="404">
        <f t="shared" si="77"/>
        <v>0</v>
      </c>
      <c r="E315" s="406">
        <v>0</v>
      </c>
      <c r="F315" s="406">
        <v>0</v>
      </c>
      <c r="G315" s="406">
        <v>0</v>
      </c>
      <c r="H315" s="406">
        <v>0</v>
      </c>
      <c r="I315" s="406">
        <v>0</v>
      </c>
      <c r="J315" s="406">
        <v>0</v>
      </c>
      <c r="K315" s="406">
        <v>0</v>
      </c>
      <c r="L315" s="406">
        <v>0</v>
      </c>
      <c r="M315" s="406" t="e">
        <f>'03'!#REF!+'04'!#REF!</f>
        <v>#REF!</v>
      </c>
      <c r="N315" s="406" t="e">
        <f t="shared" si="72"/>
        <v>#REF!</v>
      </c>
      <c r="O315" s="406" t="e">
        <f>'07'!#REF!</f>
        <v>#REF!</v>
      </c>
      <c r="P315" s="406" t="e">
        <f t="shared" si="73"/>
        <v>#REF!</v>
      </c>
    </row>
    <row r="316" spans="1:16" ht="24.75" customHeight="1" hidden="1">
      <c r="A316" s="428" t="s">
        <v>186</v>
      </c>
      <c r="B316" s="429" t="s">
        <v>150</v>
      </c>
      <c r="C316" s="404">
        <f t="shared" si="76"/>
        <v>0</v>
      </c>
      <c r="D316" s="404">
        <f t="shared" si="77"/>
        <v>0</v>
      </c>
      <c r="E316" s="406">
        <v>0</v>
      </c>
      <c r="F316" s="406">
        <v>0</v>
      </c>
      <c r="G316" s="406">
        <v>0</v>
      </c>
      <c r="H316" s="406">
        <v>0</v>
      </c>
      <c r="I316" s="406">
        <v>0</v>
      </c>
      <c r="J316" s="406">
        <v>0</v>
      </c>
      <c r="K316" s="406">
        <v>0</v>
      </c>
      <c r="L316" s="406">
        <v>0</v>
      </c>
      <c r="M316" s="406" t="e">
        <f>'03'!#REF!+'04'!#REF!</f>
        <v>#REF!</v>
      </c>
      <c r="N316" s="406" t="e">
        <f t="shared" si="72"/>
        <v>#REF!</v>
      </c>
      <c r="O316" s="406" t="e">
        <f>'07'!#REF!</f>
        <v>#REF!</v>
      </c>
      <c r="P316" s="406" t="e">
        <f t="shared" si="73"/>
        <v>#REF!</v>
      </c>
    </row>
    <row r="317" spans="1:16" ht="24.75" customHeight="1" hidden="1">
      <c r="A317" s="394" t="s">
        <v>53</v>
      </c>
      <c r="B317" s="395" t="s">
        <v>151</v>
      </c>
      <c r="C317" s="404">
        <f t="shared" si="76"/>
        <v>48342</v>
      </c>
      <c r="D317" s="404">
        <f t="shared" si="77"/>
        <v>48342</v>
      </c>
      <c r="E317" s="406">
        <v>28442</v>
      </c>
      <c r="F317" s="406">
        <v>0</v>
      </c>
      <c r="G317" s="406">
        <v>19900</v>
      </c>
      <c r="H317" s="406">
        <v>0</v>
      </c>
      <c r="I317" s="406">
        <v>0</v>
      </c>
      <c r="J317" s="406">
        <v>0</v>
      </c>
      <c r="K317" s="406">
        <v>0</v>
      </c>
      <c r="L317" s="406">
        <v>0</v>
      </c>
      <c r="M317" s="404" t="e">
        <f>'03'!#REF!+'04'!#REF!</f>
        <v>#REF!</v>
      </c>
      <c r="N317" s="404" t="e">
        <f t="shared" si="72"/>
        <v>#REF!</v>
      </c>
      <c r="O317" s="404" t="e">
        <f>'07'!#REF!</f>
        <v>#REF!</v>
      </c>
      <c r="P317" s="404" t="e">
        <f t="shared" si="73"/>
        <v>#REF!</v>
      </c>
    </row>
    <row r="318" spans="1:16" ht="24.75" customHeight="1" hidden="1">
      <c r="A318" s="453" t="s">
        <v>76</v>
      </c>
      <c r="B318" s="478" t="s">
        <v>215</v>
      </c>
      <c r="C318" s="462">
        <f>(C309+C310+C311)/C308</f>
        <v>0.3196649144533065</v>
      </c>
      <c r="D318" s="396">
        <f aca="true" t="shared" si="78" ref="D318:L318">(D309+D310+D311)/D308</f>
        <v>0.7672251004696654</v>
      </c>
      <c r="E318" s="412">
        <f t="shared" si="78"/>
        <v>0.6355936425688805</v>
      </c>
      <c r="F318" s="412" t="e">
        <f t="shared" si="78"/>
        <v>#DIV/0!</v>
      </c>
      <c r="G318" s="412">
        <f t="shared" si="78"/>
        <v>0.8666666666666667</v>
      </c>
      <c r="H318" s="412">
        <f t="shared" si="78"/>
        <v>1</v>
      </c>
      <c r="I318" s="412" t="e">
        <f t="shared" si="78"/>
        <v>#DIV/0!</v>
      </c>
      <c r="J318" s="412">
        <f t="shared" si="78"/>
        <v>0.9501242750621375</v>
      </c>
      <c r="K318" s="412" t="e">
        <f t="shared" si="78"/>
        <v>#DIV/0!</v>
      </c>
      <c r="L318" s="412">
        <f t="shared" si="78"/>
        <v>0.2590745068220626</v>
      </c>
      <c r="M318" s="422"/>
      <c r="N318" s="479"/>
      <c r="O318" s="479"/>
      <c r="P318" s="479"/>
    </row>
    <row r="319" spans="1:16" ht="17.25" hidden="1">
      <c r="A319" s="1537" t="s">
        <v>498</v>
      </c>
      <c r="B319" s="1537"/>
      <c r="C319" s="406">
        <f>C302-C305-C306-C307</f>
        <v>0</v>
      </c>
      <c r="D319" s="406">
        <f aca="true" t="shared" si="79" ref="D319:L319">D302-D305-D306-D307</f>
        <v>0</v>
      </c>
      <c r="E319" s="406">
        <f t="shared" si="79"/>
        <v>0</v>
      </c>
      <c r="F319" s="406">
        <f t="shared" si="79"/>
        <v>0</v>
      </c>
      <c r="G319" s="406">
        <f t="shared" si="79"/>
        <v>0</v>
      </c>
      <c r="H319" s="406">
        <f t="shared" si="79"/>
        <v>0</v>
      </c>
      <c r="I319" s="406">
        <f t="shared" si="79"/>
        <v>0</v>
      </c>
      <c r="J319" s="406">
        <f t="shared" si="79"/>
        <v>0</v>
      </c>
      <c r="K319" s="406">
        <f t="shared" si="79"/>
        <v>0</v>
      </c>
      <c r="L319" s="406">
        <f t="shared" si="79"/>
        <v>0</v>
      </c>
      <c r="M319" s="422"/>
      <c r="N319" s="479"/>
      <c r="O319" s="479"/>
      <c r="P319" s="479"/>
    </row>
    <row r="320" spans="1:16" ht="17.25" hidden="1">
      <c r="A320" s="1538" t="s">
        <v>499</v>
      </c>
      <c r="B320" s="1538"/>
      <c r="C320" s="406">
        <f>C307-C308-C317</f>
        <v>0</v>
      </c>
      <c r="D320" s="406">
        <f aca="true" t="shared" si="80" ref="D320:L320">D307-D308-D317</f>
        <v>0</v>
      </c>
      <c r="E320" s="406">
        <f t="shared" si="80"/>
        <v>0</v>
      </c>
      <c r="F320" s="406">
        <f t="shared" si="80"/>
        <v>0</v>
      </c>
      <c r="G320" s="406">
        <f t="shared" si="80"/>
        <v>0</v>
      </c>
      <c r="H320" s="406">
        <f t="shared" si="80"/>
        <v>0</v>
      </c>
      <c r="I320" s="406">
        <f t="shared" si="80"/>
        <v>0</v>
      </c>
      <c r="J320" s="406">
        <f t="shared" si="80"/>
        <v>0</v>
      </c>
      <c r="K320" s="406">
        <f t="shared" si="80"/>
        <v>0</v>
      </c>
      <c r="L320" s="406">
        <f t="shared" si="80"/>
        <v>0</v>
      </c>
      <c r="M320" s="422"/>
      <c r="N320" s="479"/>
      <c r="O320" s="479"/>
      <c r="P320" s="479"/>
    </row>
    <row r="321" spans="1:16" ht="18.75" hidden="1">
      <c r="A321" s="464"/>
      <c r="B321" s="480" t="s">
        <v>518</v>
      </c>
      <c r="C321" s="480"/>
      <c r="D321" s="454"/>
      <c r="E321" s="454"/>
      <c r="F321" s="454"/>
      <c r="G321" s="1564" t="s">
        <v>518</v>
      </c>
      <c r="H321" s="1564"/>
      <c r="I321" s="1564"/>
      <c r="J321" s="1564"/>
      <c r="K321" s="1564"/>
      <c r="L321" s="1564"/>
      <c r="M321" s="467"/>
      <c r="N321" s="467"/>
      <c r="O321" s="467"/>
      <c r="P321" s="467"/>
    </row>
    <row r="322" spans="1:16" ht="18.75" hidden="1">
      <c r="A322" s="1565" t="s">
        <v>4</v>
      </c>
      <c r="B322" s="1565"/>
      <c r="C322" s="1565"/>
      <c r="D322" s="1565"/>
      <c r="E322" s="454"/>
      <c r="F322" s="454"/>
      <c r="G322" s="481"/>
      <c r="H322" s="1566" t="s">
        <v>519</v>
      </c>
      <c r="I322" s="1566"/>
      <c r="J322" s="1566"/>
      <c r="K322" s="1566"/>
      <c r="L322" s="1566"/>
      <c r="M322" s="467"/>
      <c r="N322" s="467"/>
      <c r="O322" s="467"/>
      <c r="P322" s="467"/>
    </row>
    <row r="323" ht="15" hidden="1"/>
    <row r="324" ht="15" hidden="1"/>
    <row r="325" ht="15" hidden="1"/>
    <row r="326" ht="15" hidden="1"/>
    <row r="327" ht="15" hidden="1"/>
    <row r="328" ht="15" hidden="1"/>
    <row r="329" ht="15" hidden="1"/>
    <row r="330" ht="15" hidden="1"/>
    <row r="331" ht="15" hidden="1"/>
    <row r="332" ht="15" hidden="1"/>
    <row r="333" ht="15" hidden="1"/>
    <row r="334" ht="15" hidden="1"/>
    <row r="335" spans="1:13" ht="16.5" hidden="1">
      <c r="A335" s="1549" t="s">
        <v>33</v>
      </c>
      <c r="B335" s="1550"/>
      <c r="C335" s="463"/>
      <c r="D335" s="1526" t="s">
        <v>79</v>
      </c>
      <c r="E335" s="1526"/>
      <c r="F335" s="1526"/>
      <c r="G335" s="1526"/>
      <c r="H335" s="1526"/>
      <c r="I335" s="1526"/>
      <c r="J335" s="1526"/>
      <c r="K335" s="1551"/>
      <c r="L335" s="1551"/>
      <c r="M335" s="467"/>
    </row>
    <row r="336" spans="1:13" ht="16.5" hidden="1">
      <c r="A336" s="1517" t="s">
        <v>342</v>
      </c>
      <c r="B336" s="1517"/>
      <c r="C336" s="1517"/>
      <c r="D336" s="1526" t="s">
        <v>216</v>
      </c>
      <c r="E336" s="1526"/>
      <c r="F336" s="1526"/>
      <c r="G336" s="1526"/>
      <c r="H336" s="1526"/>
      <c r="I336" s="1526"/>
      <c r="J336" s="1526"/>
      <c r="K336" s="1563" t="s">
        <v>512</v>
      </c>
      <c r="L336" s="1563"/>
      <c r="M336" s="464"/>
    </row>
    <row r="337" spans="1:13" ht="16.5" hidden="1">
      <c r="A337" s="1517" t="s">
        <v>343</v>
      </c>
      <c r="B337" s="1517"/>
      <c r="C337" s="413"/>
      <c r="D337" s="1530" t="s">
        <v>552</v>
      </c>
      <c r="E337" s="1530"/>
      <c r="F337" s="1530"/>
      <c r="G337" s="1530"/>
      <c r="H337" s="1530"/>
      <c r="I337" s="1530"/>
      <c r="J337" s="1530"/>
      <c r="K337" s="1551"/>
      <c r="L337" s="1551"/>
      <c r="M337" s="467"/>
    </row>
    <row r="338" spans="1:13" ht="15.75" hidden="1">
      <c r="A338" s="433" t="s">
        <v>119</v>
      </c>
      <c r="B338" s="433"/>
      <c r="C338" s="418"/>
      <c r="D338" s="468"/>
      <c r="E338" s="468"/>
      <c r="F338" s="469"/>
      <c r="G338" s="469"/>
      <c r="H338" s="469"/>
      <c r="I338" s="469"/>
      <c r="J338" s="469"/>
      <c r="K338" s="1567"/>
      <c r="L338" s="1567"/>
      <c r="M338" s="464"/>
    </row>
    <row r="339" spans="1:13" ht="15.75" hidden="1">
      <c r="A339" s="468"/>
      <c r="B339" s="468" t="s">
        <v>94</v>
      </c>
      <c r="C339" s="468"/>
      <c r="D339" s="468"/>
      <c r="E339" s="468"/>
      <c r="F339" s="468"/>
      <c r="G339" s="468"/>
      <c r="H339" s="468"/>
      <c r="I339" s="468"/>
      <c r="J339" s="468"/>
      <c r="K339" s="1552"/>
      <c r="L339" s="1552"/>
      <c r="M339" s="464"/>
    </row>
    <row r="340" spans="1:13" ht="15.75" hidden="1">
      <c r="A340" s="1245" t="s">
        <v>71</v>
      </c>
      <c r="B340" s="1246"/>
      <c r="C340" s="1531" t="s">
        <v>38</v>
      </c>
      <c r="D340" s="1553" t="s">
        <v>339</v>
      </c>
      <c r="E340" s="1553"/>
      <c r="F340" s="1553"/>
      <c r="G340" s="1553"/>
      <c r="H340" s="1553"/>
      <c r="I340" s="1553"/>
      <c r="J340" s="1553"/>
      <c r="K340" s="1553"/>
      <c r="L340" s="1553"/>
      <c r="M340" s="467"/>
    </row>
    <row r="341" spans="1:13" ht="15.75" hidden="1">
      <c r="A341" s="1247"/>
      <c r="B341" s="1248"/>
      <c r="C341" s="1531"/>
      <c r="D341" s="1568" t="s">
        <v>207</v>
      </c>
      <c r="E341" s="1569"/>
      <c r="F341" s="1569"/>
      <c r="G341" s="1569"/>
      <c r="H341" s="1569"/>
      <c r="I341" s="1569"/>
      <c r="J341" s="1570"/>
      <c r="K341" s="1571" t="s">
        <v>208</v>
      </c>
      <c r="L341" s="1571" t="s">
        <v>209</v>
      </c>
      <c r="M341" s="464"/>
    </row>
    <row r="342" spans="1:13" ht="15.75" hidden="1">
      <c r="A342" s="1247"/>
      <c r="B342" s="1248"/>
      <c r="C342" s="1531"/>
      <c r="D342" s="1576" t="s">
        <v>37</v>
      </c>
      <c r="E342" s="1577" t="s">
        <v>7</v>
      </c>
      <c r="F342" s="1578"/>
      <c r="G342" s="1578"/>
      <c r="H342" s="1578"/>
      <c r="I342" s="1578"/>
      <c r="J342" s="1579"/>
      <c r="K342" s="1572"/>
      <c r="L342" s="1574"/>
      <c r="M342" s="464"/>
    </row>
    <row r="343" spans="1:16" ht="15.75" hidden="1">
      <c r="A343" s="1535"/>
      <c r="B343" s="1536"/>
      <c r="C343" s="1531"/>
      <c r="D343" s="1576"/>
      <c r="E343" s="470" t="s">
        <v>210</v>
      </c>
      <c r="F343" s="470" t="s">
        <v>211</v>
      </c>
      <c r="G343" s="470" t="s">
        <v>212</v>
      </c>
      <c r="H343" s="470" t="s">
        <v>213</v>
      </c>
      <c r="I343" s="470" t="s">
        <v>344</v>
      </c>
      <c r="J343" s="470" t="s">
        <v>214</v>
      </c>
      <c r="K343" s="1573"/>
      <c r="L343" s="1575"/>
      <c r="M343" s="1529" t="s">
        <v>500</v>
      </c>
      <c r="N343" s="1529"/>
      <c r="O343" s="1529"/>
      <c r="P343" s="1529"/>
    </row>
    <row r="344" spans="1:16" ht="15" hidden="1">
      <c r="A344" s="1533" t="s">
        <v>6</v>
      </c>
      <c r="B344" s="1534"/>
      <c r="C344" s="471">
        <v>1</v>
      </c>
      <c r="D344" s="472">
        <v>2</v>
      </c>
      <c r="E344" s="471">
        <v>3</v>
      </c>
      <c r="F344" s="472">
        <v>4</v>
      </c>
      <c r="G344" s="471">
        <v>5</v>
      </c>
      <c r="H344" s="472">
        <v>6</v>
      </c>
      <c r="I344" s="471">
        <v>7</v>
      </c>
      <c r="J344" s="472">
        <v>8</v>
      </c>
      <c r="K344" s="471">
        <v>9</v>
      </c>
      <c r="L344" s="472">
        <v>10</v>
      </c>
      <c r="M344" s="473" t="s">
        <v>501</v>
      </c>
      <c r="N344" s="474" t="s">
        <v>504</v>
      </c>
      <c r="O344" s="474" t="s">
        <v>502</v>
      </c>
      <c r="P344" s="474" t="s">
        <v>503</v>
      </c>
    </row>
    <row r="345" spans="1:16" ht="24.75" customHeight="1" hidden="1">
      <c r="A345" s="425" t="s">
        <v>0</v>
      </c>
      <c r="B345" s="426" t="s">
        <v>131</v>
      </c>
      <c r="C345" s="404">
        <f>C346+C347</f>
        <v>676031</v>
      </c>
      <c r="D345" s="404">
        <f aca="true" t="shared" si="81" ref="D345:L345">D346+D347</f>
        <v>216345</v>
      </c>
      <c r="E345" s="404">
        <f t="shared" si="81"/>
        <v>42086</v>
      </c>
      <c r="F345" s="404">
        <f t="shared" si="81"/>
        <v>0</v>
      </c>
      <c r="G345" s="404">
        <f t="shared" si="81"/>
        <v>127097</v>
      </c>
      <c r="H345" s="404">
        <f t="shared" si="81"/>
        <v>24743</v>
      </c>
      <c r="I345" s="404">
        <f t="shared" si="81"/>
        <v>3300</v>
      </c>
      <c r="J345" s="404">
        <f t="shared" si="81"/>
        <v>19119</v>
      </c>
      <c r="K345" s="404">
        <f t="shared" si="81"/>
        <v>0</v>
      </c>
      <c r="L345" s="404">
        <f t="shared" si="81"/>
        <v>459686</v>
      </c>
      <c r="M345" s="404" t="e">
        <f>'03'!#REF!+'04'!#REF!</f>
        <v>#REF!</v>
      </c>
      <c r="N345" s="404" t="e">
        <f>C345-M345</f>
        <v>#REF!</v>
      </c>
      <c r="O345" s="404" t="e">
        <f>'07'!#REF!</f>
        <v>#REF!</v>
      </c>
      <c r="P345" s="404" t="e">
        <f>C345-O345</f>
        <v>#REF!</v>
      </c>
    </row>
    <row r="346" spans="1:16" ht="24.75" customHeight="1" hidden="1">
      <c r="A346" s="428">
        <v>1</v>
      </c>
      <c r="B346" s="429" t="s">
        <v>132</v>
      </c>
      <c r="C346" s="404">
        <f>D346+K346+L346</f>
        <v>293359</v>
      </c>
      <c r="D346" s="404">
        <f>E346+F346+G346+H346+I346+J346</f>
        <v>146432</v>
      </c>
      <c r="E346" s="406">
        <v>17635</v>
      </c>
      <c r="F346" s="406"/>
      <c r="G346" s="406">
        <v>127097</v>
      </c>
      <c r="H346" s="406">
        <v>1700</v>
      </c>
      <c r="I346" s="406"/>
      <c r="J346" s="406"/>
      <c r="K346" s="406"/>
      <c r="L346" s="406">
        <v>146927</v>
      </c>
      <c r="M346" s="406" t="e">
        <f>'03'!#REF!+'04'!#REF!</f>
        <v>#REF!</v>
      </c>
      <c r="N346" s="406" t="e">
        <f aca="true" t="shared" si="82" ref="N346:N360">C346-M346</f>
        <v>#REF!</v>
      </c>
      <c r="O346" s="406" t="e">
        <f>'07'!#REF!</f>
        <v>#REF!</v>
      </c>
      <c r="P346" s="406" t="e">
        <f aca="true" t="shared" si="83" ref="P346:P360">C346-O346</f>
        <v>#REF!</v>
      </c>
    </row>
    <row r="347" spans="1:16" ht="24.75" customHeight="1" hidden="1">
      <c r="A347" s="428">
        <v>2</v>
      </c>
      <c r="B347" s="429" t="s">
        <v>133</v>
      </c>
      <c r="C347" s="404">
        <f>D347+K347+L347</f>
        <v>382672</v>
      </c>
      <c r="D347" s="404">
        <f>E347+F347+G347+H347+I347+J347</f>
        <v>69913</v>
      </c>
      <c r="E347" s="406">
        <v>24451</v>
      </c>
      <c r="F347" s="406"/>
      <c r="G347" s="406"/>
      <c r="H347" s="406">
        <v>23043</v>
      </c>
      <c r="I347" s="406">
        <v>3300</v>
      </c>
      <c r="J347" s="406">
        <v>19119</v>
      </c>
      <c r="K347" s="406"/>
      <c r="L347" s="406">
        <v>312759</v>
      </c>
      <c r="M347" s="406" t="e">
        <f>'03'!#REF!+'04'!#REF!</f>
        <v>#REF!</v>
      </c>
      <c r="N347" s="406" t="e">
        <f t="shared" si="82"/>
        <v>#REF!</v>
      </c>
      <c r="O347" s="406" t="e">
        <f>'07'!#REF!</f>
        <v>#REF!</v>
      </c>
      <c r="P347" s="406" t="e">
        <f t="shared" si="83"/>
        <v>#REF!</v>
      </c>
    </row>
    <row r="348" spans="1:16" ht="24.75" customHeight="1" hidden="1">
      <c r="A348" s="394" t="s">
        <v>1</v>
      </c>
      <c r="B348" s="395" t="s">
        <v>134</v>
      </c>
      <c r="C348" s="404">
        <f>D348+K348+L348</f>
        <v>75600</v>
      </c>
      <c r="D348" s="404">
        <f>E348+F348+G348+H348+I348+J348</f>
        <v>8470</v>
      </c>
      <c r="E348" s="406">
        <v>8470</v>
      </c>
      <c r="F348" s="406"/>
      <c r="G348" s="406"/>
      <c r="H348" s="406"/>
      <c r="I348" s="406"/>
      <c r="J348" s="406"/>
      <c r="K348" s="406"/>
      <c r="L348" s="406">
        <v>67130</v>
      </c>
      <c r="M348" s="406" t="e">
        <f>'03'!#REF!+'04'!#REF!</f>
        <v>#REF!</v>
      </c>
      <c r="N348" s="406" t="e">
        <f t="shared" si="82"/>
        <v>#REF!</v>
      </c>
      <c r="O348" s="406" t="e">
        <f>'07'!#REF!</f>
        <v>#REF!</v>
      </c>
      <c r="P348" s="406" t="e">
        <f t="shared" si="83"/>
        <v>#REF!</v>
      </c>
    </row>
    <row r="349" spans="1:16" ht="24.75" customHeight="1" hidden="1">
      <c r="A349" s="394" t="s">
        <v>9</v>
      </c>
      <c r="B349" s="395" t="s">
        <v>135</v>
      </c>
      <c r="C349" s="404">
        <f>D349+K349+L349</f>
        <v>0</v>
      </c>
      <c r="D349" s="404">
        <f>E349+F349+G349+H349+I349+J349</f>
        <v>0</v>
      </c>
      <c r="E349" s="406"/>
      <c r="F349" s="406"/>
      <c r="G349" s="406"/>
      <c r="H349" s="406"/>
      <c r="I349" s="406"/>
      <c r="J349" s="406"/>
      <c r="K349" s="406"/>
      <c r="L349" s="406"/>
      <c r="M349" s="406" t="e">
        <f>'03'!#REF!+'04'!#REF!</f>
        <v>#REF!</v>
      </c>
      <c r="N349" s="406" t="e">
        <f t="shared" si="82"/>
        <v>#REF!</v>
      </c>
      <c r="O349" s="406" t="e">
        <f>'07'!#REF!</f>
        <v>#REF!</v>
      </c>
      <c r="P349" s="406" t="e">
        <f t="shared" si="83"/>
        <v>#REF!</v>
      </c>
    </row>
    <row r="350" spans="1:16" ht="24.75" customHeight="1" hidden="1">
      <c r="A350" s="394" t="s">
        <v>136</v>
      </c>
      <c r="B350" s="395" t="s">
        <v>137</v>
      </c>
      <c r="C350" s="404">
        <f>C351+C360</f>
        <v>600431</v>
      </c>
      <c r="D350" s="404">
        <f aca="true" t="shared" si="84" ref="D350:L350">D351+D360</f>
        <v>207875</v>
      </c>
      <c r="E350" s="404">
        <f t="shared" si="84"/>
        <v>33616</v>
      </c>
      <c r="F350" s="404">
        <f t="shared" si="84"/>
        <v>0</v>
      </c>
      <c r="G350" s="404">
        <f t="shared" si="84"/>
        <v>127097</v>
      </c>
      <c r="H350" s="404">
        <f t="shared" si="84"/>
        <v>24743</v>
      </c>
      <c r="I350" s="404">
        <f t="shared" si="84"/>
        <v>3300</v>
      </c>
      <c r="J350" s="404">
        <f t="shared" si="84"/>
        <v>19119</v>
      </c>
      <c r="K350" s="404">
        <f t="shared" si="84"/>
        <v>0</v>
      </c>
      <c r="L350" s="404">
        <f t="shared" si="84"/>
        <v>392556</v>
      </c>
      <c r="M350" s="404" t="e">
        <f>'03'!#REF!+'04'!#REF!</f>
        <v>#REF!</v>
      </c>
      <c r="N350" s="404" t="e">
        <f t="shared" si="82"/>
        <v>#REF!</v>
      </c>
      <c r="O350" s="404" t="e">
        <f>'07'!#REF!</f>
        <v>#REF!</v>
      </c>
      <c r="P350" s="404" t="e">
        <f t="shared" si="83"/>
        <v>#REF!</v>
      </c>
    </row>
    <row r="351" spans="1:16" ht="24.75" customHeight="1" hidden="1">
      <c r="A351" s="394" t="s">
        <v>52</v>
      </c>
      <c r="B351" s="430" t="s">
        <v>138</v>
      </c>
      <c r="C351" s="404">
        <f>SUM(C352:C359)</f>
        <v>455899</v>
      </c>
      <c r="D351" s="404">
        <f aca="true" t="shared" si="85" ref="D351:L351">SUM(D352:D359)</f>
        <v>63343</v>
      </c>
      <c r="E351" s="404">
        <f t="shared" si="85"/>
        <v>16181</v>
      </c>
      <c r="F351" s="404">
        <f t="shared" si="85"/>
        <v>0</v>
      </c>
      <c r="G351" s="404">
        <f t="shared" si="85"/>
        <v>0</v>
      </c>
      <c r="H351" s="404">
        <f t="shared" si="85"/>
        <v>24743</v>
      </c>
      <c r="I351" s="404">
        <f t="shared" si="85"/>
        <v>3300</v>
      </c>
      <c r="J351" s="404">
        <f t="shared" si="85"/>
        <v>19119</v>
      </c>
      <c r="K351" s="404">
        <f t="shared" si="85"/>
        <v>0</v>
      </c>
      <c r="L351" s="404">
        <f t="shared" si="85"/>
        <v>392556</v>
      </c>
      <c r="M351" s="404" t="e">
        <f>'03'!#REF!+'04'!#REF!</f>
        <v>#REF!</v>
      </c>
      <c r="N351" s="404" t="e">
        <f t="shared" si="82"/>
        <v>#REF!</v>
      </c>
      <c r="O351" s="404" t="e">
        <f>'07'!#REF!</f>
        <v>#REF!</v>
      </c>
      <c r="P351" s="404" t="e">
        <f t="shared" si="83"/>
        <v>#REF!</v>
      </c>
    </row>
    <row r="352" spans="1:16" ht="24.75" customHeight="1" hidden="1">
      <c r="A352" s="428" t="s">
        <v>54</v>
      </c>
      <c r="B352" s="429" t="s">
        <v>139</v>
      </c>
      <c r="C352" s="404">
        <f aca="true" t="shared" si="86" ref="C352:C360">D352+K352+L352</f>
        <v>75443</v>
      </c>
      <c r="D352" s="404">
        <f aca="true" t="shared" si="87" ref="D352:D360">E352+F352+G352+H352+I352+J352</f>
        <v>61443</v>
      </c>
      <c r="E352" s="406">
        <v>15981</v>
      </c>
      <c r="F352" s="406"/>
      <c r="G352" s="406"/>
      <c r="H352" s="406">
        <v>23043</v>
      </c>
      <c r="I352" s="406">
        <v>3300</v>
      </c>
      <c r="J352" s="406">
        <v>19119</v>
      </c>
      <c r="K352" s="406"/>
      <c r="L352" s="406">
        <v>14000</v>
      </c>
      <c r="M352" s="406" t="e">
        <f>'03'!#REF!+'04'!#REF!</f>
        <v>#REF!</v>
      </c>
      <c r="N352" s="406" t="e">
        <f t="shared" si="82"/>
        <v>#REF!</v>
      </c>
      <c r="O352" s="406" t="e">
        <f>'07'!#REF!</f>
        <v>#REF!</v>
      </c>
      <c r="P352" s="406" t="e">
        <f t="shared" si="83"/>
        <v>#REF!</v>
      </c>
    </row>
    <row r="353" spans="1:16" ht="24.75" customHeight="1" hidden="1">
      <c r="A353" s="428" t="s">
        <v>55</v>
      </c>
      <c r="B353" s="429" t="s">
        <v>140</v>
      </c>
      <c r="C353" s="404">
        <f t="shared" si="86"/>
        <v>0</v>
      </c>
      <c r="D353" s="404">
        <f t="shared" si="87"/>
        <v>0</v>
      </c>
      <c r="E353" s="406"/>
      <c r="F353" s="406"/>
      <c r="G353" s="406"/>
      <c r="H353" s="406"/>
      <c r="I353" s="406"/>
      <c r="J353" s="406"/>
      <c r="K353" s="406"/>
      <c r="L353" s="406"/>
      <c r="M353" s="406" t="e">
        <f>'03'!#REF!+'04'!#REF!</f>
        <v>#REF!</v>
      </c>
      <c r="N353" s="406" t="e">
        <f t="shared" si="82"/>
        <v>#REF!</v>
      </c>
      <c r="O353" s="406" t="e">
        <f>'07'!#REF!</f>
        <v>#REF!</v>
      </c>
      <c r="P353" s="406" t="e">
        <f t="shared" si="83"/>
        <v>#REF!</v>
      </c>
    </row>
    <row r="354" spans="1:16" ht="24.75" customHeight="1" hidden="1">
      <c r="A354" s="428" t="s">
        <v>141</v>
      </c>
      <c r="B354" s="429" t="s">
        <v>202</v>
      </c>
      <c r="C354" s="404">
        <f t="shared" si="86"/>
        <v>0</v>
      </c>
      <c r="D354" s="404">
        <f t="shared" si="87"/>
        <v>0</v>
      </c>
      <c r="E354" s="406"/>
      <c r="F354" s="406"/>
      <c r="G354" s="406"/>
      <c r="H354" s="406"/>
      <c r="I354" s="406"/>
      <c r="J354" s="406"/>
      <c r="K354" s="406"/>
      <c r="L354" s="406"/>
      <c r="M354" s="406" t="e">
        <f>'03'!#REF!</f>
        <v>#REF!</v>
      </c>
      <c r="N354" s="406" t="e">
        <f t="shared" si="82"/>
        <v>#REF!</v>
      </c>
      <c r="O354" s="406" t="e">
        <f>'07'!#REF!</f>
        <v>#REF!</v>
      </c>
      <c r="P354" s="406" t="e">
        <f t="shared" si="83"/>
        <v>#REF!</v>
      </c>
    </row>
    <row r="355" spans="1:16" ht="24.75" customHeight="1" hidden="1">
      <c r="A355" s="428" t="s">
        <v>143</v>
      </c>
      <c r="B355" s="429" t="s">
        <v>142</v>
      </c>
      <c r="C355" s="404">
        <f t="shared" si="86"/>
        <v>253354</v>
      </c>
      <c r="D355" s="404">
        <f t="shared" si="87"/>
        <v>1900</v>
      </c>
      <c r="E355" s="406">
        <v>200</v>
      </c>
      <c r="F355" s="406"/>
      <c r="G355" s="406"/>
      <c r="H355" s="406">
        <v>1700</v>
      </c>
      <c r="I355" s="406"/>
      <c r="J355" s="406"/>
      <c r="K355" s="406"/>
      <c r="L355" s="406">
        <v>251454</v>
      </c>
      <c r="M355" s="406" t="e">
        <f>'03'!#REF!+'04'!#REF!</f>
        <v>#REF!</v>
      </c>
      <c r="N355" s="406" t="e">
        <f t="shared" si="82"/>
        <v>#REF!</v>
      </c>
      <c r="O355" s="406" t="e">
        <f>'07'!#REF!</f>
        <v>#REF!</v>
      </c>
      <c r="P355" s="406" t="e">
        <f t="shared" si="83"/>
        <v>#REF!</v>
      </c>
    </row>
    <row r="356" spans="1:16" ht="24.75" customHeight="1" hidden="1">
      <c r="A356" s="428" t="s">
        <v>145</v>
      </c>
      <c r="B356" s="429" t="s">
        <v>144</v>
      </c>
      <c r="C356" s="404">
        <f t="shared" si="86"/>
        <v>0</v>
      </c>
      <c r="D356" s="404">
        <f t="shared" si="87"/>
        <v>0</v>
      </c>
      <c r="E356" s="406"/>
      <c r="F356" s="406"/>
      <c r="G356" s="406"/>
      <c r="H356" s="406"/>
      <c r="I356" s="406"/>
      <c r="J356" s="406"/>
      <c r="K356" s="406"/>
      <c r="L356" s="406"/>
      <c r="M356" s="406" t="e">
        <f>'03'!#REF!+'04'!#REF!</f>
        <v>#REF!</v>
      </c>
      <c r="N356" s="406" t="e">
        <f t="shared" si="82"/>
        <v>#REF!</v>
      </c>
      <c r="O356" s="406" t="e">
        <f>'07'!#REF!</f>
        <v>#REF!</v>
      </c>
      <c r="P356" s="406" t="e">
        <f t="shared" si="83"/>
        <v>#REF!</v>
      </c>
    </row>
    <row r="357" spans="1:16" ht="24.75" customHeight="1" hidden="1">
      <c r="A357" s="428" t="s">
        <v>147</v>
      </c>
      <c r="B357" s="429" t="s">
        <v>146</v>
      </c>
      <c r="C357" s="404">
        <f t="shared" si="86"/>
        <v>0</v>
      </c>
      <c r="D357" s="404">
        <f t="shared" si="87"/>
        <v>0</v>
      </c>
      <c r="E357" s="406"/>
      <c r="F357" s="406"/>
      <c r="G357" s="406"/>
      <c r="H357" s="406"/>
      <c r="I357" s="406"/>
      <c r="J357" s="406"/>
      <c r="K357" s="406"/>
      <c r="L357" s="406"/>
      <c r="M357" s="406" t="e">
        <f>'03'!#REF!+'04'!#REF!</f>
        <v>#REF!</v>
      </c>
      <c r="N357" s="406" t="e">
        <f t="shared" si="82"/>
        <v>#REF!</v>
      </c>
      <c r="O357" s="406" t="e">
        <f>'07'!#REF!</f>
        <v>#REF!</v>
      </c>
      <c r="P357" s="406" t="e">
        <f t="shared" si="83"/>
        <v>#REF!</v>
      </c>
    </row>
    <row r="358" spans="1:16" ht="24.75" customHeight="1" hidden="1">
      <c r="A358" s="428" t="s">
        <v>149</v>
      </c>
      <c r="B358" s="431" t="s">
        <v>148</v>
      </c>
      <c r="C358" s="404">
        <f t="shared" si="86"/>
        <v>0</v>
      </c>
      <c r="D358" s="404">
        <f t="shared" si="87"/>
        <v>0</v>
      </c>
      <c r="E358" s="406"/>
      <c r="F358" s="406"/>
      <c r="G358" s="406"/>
      <c r="H358" s="406"/>
      <c r="I358" s="406"/>
      <c r="J358" s="406"/>
      <c r="K358" s="406"/>
      <c r="L358" s="406"/>
      <c r="M358" s="406" t="e">
        <f>'03'!#REF!+'04'!#REF!</f>
        <v>#REF!</v>
      </c>
      <c r="N358" s="406" t="e">
        <f t="shared" si="82"/>
        <v>#REF!</v>
      </c>
      <c r="O358" s="406" t="e">
        <f>'07'!#REF!</f>
        <v>#REF!</v>
      </c>
      <c r="P358" s="406" t="e">
        <f t="shared" si="83"/>
        <v>#REF!</v>
      </c>
    </row>
    <row r="359" spans="1:16" ht="24.75" customHeight="1" hidden="1">
      <c r="A359" s="428" t="s">
        <v>186</v>
      </c>
      <c r="B359" s="429" t="s">
        <v>150</v>
      </c>
      <c r="C359" s="404">
        <f t="shared" si="86"/>
        <v>127102</v>
      </c>
      <c r="D359" s="404">
        <f t="shared" si="87"/>
        <v>0</v>
      </c>
      <c r="E359" s="406"/>
      <c r="F359" s="406"/>
      <c r="G359" s="406"/>
      <c r="H359" s="406"/>
      <c r="I359" s="406"/>
      <c r="J359" s="406"/>
      <c r="K359" s="406"/>
      <c r="L359" s="406">
        <v>127102</v>
      </c>
      <c r="M359" s="406" t="e">
        <f>'03'!#REF!+'04'!#REF!</f>
        <v>#REF!</v>
      </c>
      <c r="N359" s="406" t="e">
        <f t="shared" si="82"/>
        <v>#REF!</v>
      </c>
      <c r="O359" s="406" t="e">
        <f>'07'!#REF!</f>
        <v>#REF!</v>
      </c>
      <c r="P359" s="406" t="e">
        <f t="shared" si="83"/>
        <v>#REF!</v>
      </c>
    </row>
    <row r="360" spans="1:16" ht="24.75" customHeight="1" hidden="1">
      <c r="A360" s="394" t="s">
        <v>53</v>
      </c>
      <c r="B360" s="395" t="s">
        <v>151</v>
      </c>
      <c r="C360" s="404">
        <f t="shared" si="86"/>
        <v>144532</v>
      </c>
      <c r="D360" s="404">
        <f t="shared" si="87"/>
        <v>144532</v>
      </c>
      <c r="E360" s="406">
        <v>17435</v>
      </c>
      <c r="F360" s="406"/>
      <c r="G360" s="406">
        <v>127097</v>
      </c>
      <c r="H360" s="406"/>
      <c r="I360" s="406"/>
      <c r="J360" s="406"/>
      <c r="K360" s="406"/>
      <c r="L360" s="406"/>
      <c r="M360" s="404" t="e">
        <f>'03'!#REF!+'04'!#REF!</f>
        <v>#REF!</v>
      </c>
      <c r="N360" s="404" t="e">
        <f t="shared" si="82"/>
        <v>#REF!</v>
      </c>
      <c r="O360" s="404" t="e">
        <f>'07'!#REF!</f>
        <v>#REF!</v>
      </c>
      <c r="P360" s="404" t="e">
        <f t="shared" si="83"/>
        <v>#REF!</v>
      </c>
    </row>
    <row r="361" spans="1:16" ht="24.75" customHeight="1" hidden="1">
      <c r="A361" s="453" t="s">
        <v>76</v>
      </c>
      <c r="B361" s="478" t="s">
        <v>215</v>
      </c>
      <c r="C361" s="462">
        <f>(C352+C353+C354)/C351</f>
        <v>0.16548182821195045</v>
      </c>
      <c r="D361" s="396">
        <f aca="true" t="shared" si="88" ref="D361:L361">(D352+D353+D354)/D351</f>
        <v>0.9700045782485831</v>
      </c>
      <c r="E361" s="412">
        <f t="shared" si="88"/>
        <v>0.9876398244855077</v>
      </c>
      <c r="F361" s="412" t="e">
        <f t="shared" si="88"/>
        <v>#DIV/0!</v>
      </c>
      <c r="G361" s="412" t="e">
        <f t="shared" si="88"/>
        <v>#DIV/0!</v>
      </c>
      <c r="H361" s="412">
        <f t="shared" si="88"/>
        <v>0.9312936992280645</v>
      </c>
      <c r="I361" s="412">
        <f t="shared" si="88"/>
        <v>1</v>
      </c>
      <c r="J361" s="412">
        <f t="shared" si="88"/>
        <v>1</v>
      </c>
      <c r="K361" s="412" t="e">
        <f t="shared" si="88"/>
        <v>#DIV/0!</v>
      </c>
      <c r="L361" s="412">
        <f t="shared" si="88"/>
        <v>0.03566370148462895</v>
      </c>
      <c r="M361" s="422"/>
      <c r="N361" s="479"/>
      <c r="O361" s="479"/>
      <c r="P361" s="479"/>
    </row>
    <row r="362" spans="1:16" ht="17.25" hidden="1">
      <c r="A362" s="1537" t="s">
        <v>498</v>
      </c>
      <c r="B362" s="1537"/>
      <c r="C362" s="406">
        <f>C345-C348-C349-C350</f>
        <v>0</v>
      </c>
      <c r="D362" s="406">
        <f aca="true" t="shared" si="89" ref="D362:L362">D345-D348-D349-D350</f>
        <v>0</v>
      </c>
      <c r="E362" s="406">
        <f t="shared" si="89"/>
        <v>0</v>
      </c>
      <c r="F362" s="406">
        <f t="shared" si="89"/>
        <v>0</v>
      </c>
      <c r="G362" s="406">
        <f t="shared" si="89"/>
        <v>0</v>
      </c>
      <c r="H362" s="406">
        <f t="shared" si="89"/>
        <v>0</v>
      </c>
      <c r="I362" s="406">
        <f t="shared" si="89"/>
        <v>0</v>
      </c>
      <c r="J362" s="406">
        <f t="shared" si="89"/>
        <v>0</v>
      </c>
      <c r="K362" s="406">
        <f t="shared" si="89"/>
        <v>0</v>
      </c>
      <c r="L362" s="406">
        <f t="shared" si="89"/>
        <v>0</v>
      </c>
      <c r="M362" s="422"/>
      <c r="N362" s="479"/>
      <c r="O362" s="479"/>
      <c r="P362" s="479"/>
    </row>
    <row r="363" spans="1:16" ht="17.25" hidden="1">
      <c r="A363" s="1538" t="s">
        <v>499</v>
      </c>
      <c r="B363" s="1538"/>
      <c r="C363" s="406">
        <f>C350-C351-C360</f>
        <v>0</v>
      </c>
      <c r="D363" s="406">
        <f aca="true" t="shared" si="90" ref="D363:L363">D350-D351-D360</f>
        <v>0</v>
      </c>
      <c r="E363" s="406">
        <f t="shared" si="90"/>
        <v>0</v>
      </c>
      <c r="F363" s="406">
        <f t="shared" si="90"/>
        <v>0</v>
      </c>
      <c r="G363" s="406">
        <f t="shared" si="90"/>
        <v>0</v>
      </c>
      <c r="H363" s="406">
        <f t="shared" si="90"/>
        <v>0</v>
      </c>
      <c r="I363" s="406">
        <f t="shared" si="90"/>
        <v>0</v>
      </c>
      <c r="J363" s="406">
        <f t="shared" si="90"/>
        <v>0</v>
      </c>
      <c r="K363" s="406">
        <f t="shared" si="90"/>
        <v>0</v>
      </c>
      <c r="L363" s="406">
        <f t="shared" si="90"/>
        <v>0</v>
      </c>
      <c r="M363" s="422"/>
      <c r="N363" s="479"/>
      <c r="O363" s="479"/>
      <c r="P363" s="479"/>
    </row>
    <row r="364" spans="1:16" ht="18.75" hidden="1">
      <c r="A364" s="464"/>
      <c r="B364" s="480" t="s">
        <v>518</v>
      </c>
      <c r="C364" s="480"/>
      <c r="D364" s="454"/>
      <c r="E364" s="454"/>
      <c r="F364" s="454"/>
      <c r="G364" s="1564" t="s">
        <v>518</v>
      </c>
      <c r="H364" s="1564"/>
      <c r="I364" s="1564"/>
      <c r="J364" s="1564"/>
      <c r="K364" s="1564"/>
      <c r="L364" s="1564"/>
      <c r="M364" s="467"/>
      <c r="N364" s="467"/>
      <c r="O364" s="467"/>
      <c r="P364" s="467"/>
    </row>
    <row r="365" spans="1:16" ht="18.75" hidden="1">
      <c r="A365" s="1565" t="s">
        <v>4</v>
      </c>
      <c r="B365" s="1565"/>
      <c r="C365" s="1565"/>
      <c r="D365" s="1565"/>
      <c r="E365" s="454"/>
      <c r="F365" s="454"/>
      <c r="G365" s="481"/>
      <c r="H365" s="1566" t="s">
        <v>519</v>
      </c>
      <c r="I365" s="1566"/>
      <c r="J365" s="1566"/>
      <c r="K365" s="1566"/>
      <c r="L365" s="1566"/>
      <c r="M365" s="467"/>
      <c r="N365" s="467"/>
      <c r="O365" s="467"/>
      <c r="P365" s="467"/>
    </row>
    <row r="366" ht="15" hidden="1"/>
    <row r="367" ht="15" hidden="1"/>
    <row r="368" ht="15" hidden="1"/>
    <row r="369" ht="15" hidden="1"/>
    <row r="370" ht="15" hidden="1"/>
    <row r="371" ht="15" hidden="1"/>
    <row r="372" ht="15" hidden="1"/>
    <row r="373" ht="15" hidden="1"/>
    <row r="374" ht="15" hidden="1"/>
    <row r="375" ht="15" hidden="1"/>
    <row r="376" ht="15" hidden="1"/>
    <row r="377" ht="15" hidden="1"/>
    <row r="378" spans="1:13" ht="16.5" hidden="1">
      <c r="A378" s="1549" t="s">
        <v>33</v>
      </c>
      <c r="B378" s="1550"/>
      <c r="C378" s="463"/>
      <c r="D378" s="1526" t="s">
        <v>79</v>
      </c>
      <c r="E378" s="1526"/>
      <c r="F378" s="1526"/>
      <c r="G378" s="1526"/>
      <c r="H378" s="1526"/>
      <c r="I378" s="1526"/>
      <c r="J378" s="1526"/>
      <c r="K378" s="1551"/>
      <c r="L378" s="1551"/>
      <c r="M378" s="467"/>
    </row>
    <row r="379" spans="1:13" ht="16.5" hidden="1">
      <c r="A379" s="1517" t="s">
        <v>342</v>
      </c>
      <c r="B379" s="1517"/>
      <c r="C379" s="1517"/>
      <c r="D379" s="1526" t="s">
        <v>216</v>
      </c>
      <c r="E379" s="1526"/>
      <c r="F379" s="1526"/>
      <c r="G379" s="1526"/>
      <c r="H379" s="1526"/>
      <c r="I379" s="1526"/>
      <c r="J379" s="1526"/>
      <c r="K379" s="1563" t="s">
        <v>513</v>
      </c>
      <c r="L379" s="1563"/>
      <c r="M379" s="464"/>
    </row>
    <row r="380" spans="1:13" ht="16.5" hidden="1">
      <c r="A380" s="1517" t="s">
        <v>343</v>
      </c>
      <c r="B380" s="1517"/>
      <c r="C380" s="413"/>
      <c r="D380" s="1530" t="s">
        <v>11</v>
      </c>
      <c r="E380" s="1530"/>
      <c r="F380" s="1530"/>
      <c r="G380" s="1530"/>
      <c r="H380" s="1530"/>
      <c r="I380" s="1530"/>
      <c r="J380" s="1530"/>
      <c r="K380" s="1551"/>
      <c r="L380" s="1551"/>
      <c r="M380" s="467"/>
    </row>
    <row r="381" spans="1:13" ht="15.75" hidden="1">
      <c r="A381" s="433" t="s">
        <v>119</v>
      </c>
      <c r="B381" s="433"/>
      <c r="C381" s="418"/>
      <c r="D381" s="468"/>
      <c r="E381" s="468"/>
      <c r="F381" s="469"/>
      <c r="G381" s="469"/>
      <c r="H381" s="469"/>
      <c r="I381" s="469"/>
      <c r="J381" s="469"/>
      <c r="K381" s="1567"/>
      <c r="L381" s="1567"/>
      <c r="M381" s="464"/>
    </row>
    <row r="382" spans="1:13" ht="15.75" hidden="1">
      <c r="A382" s="468"/>
      <c r="B382" s="468" t="s">
        <v>94</v>
      </c>
      <c r="C382" s="406">
        <v>2566605</v>
      </c>
      <c r="D382" s="406">
        <v>891117</v>
      </c>
      <c r="E382" s="406">
        <v>322557</v>
      </c>
      <c r="F382" s="406"/>
      <c r="G382" s="406">
        <v>305560</v>
      </c>
      <c r="H382" s="406"/>
      <c r="I382" s="406">
        <v>263000</v>
      </c>
      <c r="J382" s="406"/>
      <c r="K382" s="406">
        <v>1675488</v>
      </c>
      <c r="L382" s="406"/>
      <c r="M382" s="464"/>
    </row>
    <row r="383" spans="1:13" ht="15.75" hidden="1">
      <c r="A383" s="1245" t="s">
        <v>71</v>
      </c>
      <c r="B383" s="1246"/>
      <c r="C383" s="1531" t="s">
        <v>38</v>
      </c>
      <c r="D383" s="1553" t="s">
        <v>339</v>
      </c>
      <c r="E383" s="1553"/>
      <c r="F383" s="1553"/>
      <c r="G383" s="1553"/>
      <c r="H383" s="1553"/>
      <c r="I383" s="1553"/>
      <c r="J383" s="1553"/>
      <c r="K383" s="1553"/>
      <c r="L383" s="1553"/>
      <c r="M383" s="467"/>
    </row>
    <row r="384" spans="1:13" ht="15.75" hidden="1">
      <c r="A384" s="1247"/>
      <c r="B384" s="1248"/>
      <c r="C384" s="1531"/>
      <c r="D384" s="1568" t="s">
        <v>207</v>
      </c>
      <c r="E384" s="1569"/>
      <c r="F384" s="1569"/>
      <c r="G384" s="1569"/>
      <c r="H384" s="1569"/>
      <c r="I384" s="1569"/>
      <c r="J384" s="1570"/>
      <c r="K384" s="1571" t="s">
        <v>208</v>
      </c>
      <c r="L384" s="1571" t="s">
        <v>209</v>
      </c>
      <c r="M384" s="464"/>
    </row>
    <row r="385" spans="1:13" ht="15.75" hidden="1">
      <c r="A385" s="1247"/>
      <c r="B385" s="1248"/>
      <c r="C385" s="1531"/>
      <c r="D385" s="1576" t="s">
        <v>37</v>
      </c>
      <c r="E385" s="1577" t="s">
        <v>7</v>
      </c>
      <c r="F385" s="1578"/>
      <c r="G385" s="1578"/>
      <c r="H385" s="1578"/>
      <c r="I385" s="1578"/>
      <c r="J385" s="1579"/>
      <c r="K385" s="1572"/>
      <c r="L385" s="1574"/>
      <c r="M385" s="464"/>
    </row>
    <row r="386" spans="1:16" ht="15.75" hidden="1">
      <c r="A386" s="1535"/>
      <c r="B386" s="1536"/>
      <c r="C386" s="1531"/>
      <c r="D386" s="1576"/>
      <c r="E386" s="470" t="s">
        <v>210</v>
      </c>
      <c r="F386" s="470" t="s">
        <v>211</v>
      </c>
      <c r="G386" s="470" t="s">
        <v>212</v>
      </c>
      <c r="H386" s="470" t="s">
        <v>213</v>
      </c>
      <c r="I386" s="470" t="s">
        <v>344</v>
      </c>
      <c r="J386" s="470" t="s">
        <v>214</v>
      </c>
      <c r="K386" s="1573"/>
      <c r="L386" s="1575"/>
      <c r="M386" s="1529" t="s">
        <v>500</v>
      </c>
      <c r="N386" s="1529"/>
      <c r="O386" s="1529"/>
      <c r="P386" s="1529"/>
    </row>
    <row r="387" spans="1:16" ht="15" hidden="1">
      <c r="A387" s="1533" t="s">
        <v>6</v>
      </c>
      <c r="B387" s="1534"/>
      <c r="C387" s="471">
        <v>1</v>
      </c>
      <c r="D387" s="472">
        <v>2</v>
      </c>
      <c r="E387" s="471">
        <v>3</v>
      </c>
      <c r="F387" s="472">
        <v>4</v>
      </c>
      <c r="G387" s="471">
        <v>5</v>
      </c>
      <c r="H387" s="472">
        <v>6</v>
      </c>
      <c r="I387" s="471">
        <v>7</v>
      </c>
      <c r="J387" s="472">
        <v>8</v>
      </c>
      <c r="K387" s="471">
        <v>9</v>
      </c>
      <c r="L387" s="472">
        <v>10</v>
      </c>
      <c r="M387" s="473" t="s">
        <v>501</v>
      </c>
      <c r="N387" s="474" t="s">
        <v>504</v>
      </c>
      <c r="O387" s="474" t="s">
        <v>502</v>
      </c>
      <c r="P387" s="474" t="s">
        <v>503</v>
      </c>
    </row>
    <row r="388" spans="1:16" ht="24.75" customHeight="1" hidden="1">
      <c r="A388" s="425" t="s">
        <v>0</v>
      </c>
      <c r="B388" s="426" t="s">
        <v>131</v>
      </c>
      <c r="C388" s="404">
        <f>C389+C390</f>
        <v>6961324</v>
      </c>
      <c r="D388" s="404">
        <f aca="true" t="shared" si="91" ref="D388:L388">D389+D390</f>
        <v>1160486</v>
      </c>
      <c r="E388" s="404">
        <f t="shared" si="91"/>
        <v>331649</v>
      </c>
      <c r="F388" s="404">
        <f t="shared" si="91"/>
        <v>0</v>
      </c>
      <c r="G388" s="404">
        <f t="shared" si="91"/>
        <v>382410</v>
      </c>
      <c r="H388" s="404">
        <f t="shared" si="91"/>
        <v>109701</v>
      </c>
      <c r="I388" s="404">
        <f t="shared" si="91"/>
        <v>278351</v>
      </c>
      <c r="J388" s="404">
        <f t="shared" si="91"/>
        <v>58375</v>
      </c>
      <c r="K388" s="404">
        <f t="shared" si="91"/>
        <v>0</v>
      </c>
      <c r="L388" s="404">
        <f t="shared" si="91"/>
        <v>5800838</v>
      </c>
      <c r="M388" s="404" t="e">
        <f>'03'!#REF!+'04'!#REF!</f>
        <v>#REF!</v>
      </c>
      <c r="N388" s="404" t="e">
        <f>C388-M388</f>
        <v>#REF!</v>
      </c>
      <c r="O388" s="404" t="e">
        <f>'07'!#REF!</f>
        <v>#REF!</v>
      </c>
      <c r="P388" s="404" t="e">
        <f>C388-O388</f>
        <v>#REF!</v>
      </c>
    </row>
    <row r="389" spans="1:16" ht="24.75" customHeight="1" hidden="1">
      <c r="A389" s="428">
        <v>1</v>
      </c>
      <c r="B389" s="429" t="s">
        <v>132</v>
      </c>
      <c r="C389" s="404">
        <f>D389+K389+L389</f>
        <v>2566605</v>
      </c>
      <c r="D389" s="404">
        <f>E389+F389+G389+H389+I389+J389</f>
        <v>891117</v>
      </c>
      <c r="E389" s="406">
        <v>322507</v>
      </c>
      <c r="F389" s="406">
        <v>0</v>
      </c>
      <c r="G389" s="406">
        <v>312410</v>
      </c>
      <c r="H389" s="406">
        <v>0</v>
      </c>
      <c r="I389" s="406">
        <v>256200</v>
      </c>
      <c r="J389" s="406">
        <v>0</v>
      </c>
      <c r="K389" s="406">
        <v>0</v>
      </c>
      <c r="L389" s="406">
        <v>1675488</v>
      </c>
      <c r="M389" s="406" t="e">
        <f>'03'!#REF!+'04'!#REF!</f>
        <v>#REF!</v>
      </c>
      <c r="N389" s="406" t="e">
        <f aca="true" t="shared" si="92" ref="N389:N403">C389-M389</f>
        <v>#REF!</v>
      </c>
      <c r="O389" s="406" t="e">
        <f>'07'!#REF!</f>
        <v>#REF!</v>
      </c>
      <c r="P389" s="406" t="e">
        <f aca="true" t="shared" si="93" ref="P389:P403">C389-O389</f>
        <v>#REF!</v>
      </c>
    </row>
    <row r="390" spans="1:16" ht="24.75" customHeight="1" hidden="1">
      <c r="A390" s="428">
        <v>2</v>
      </c>
      <c r="B390" s="429" t="s">
        <v>133</v>
      </c>
      <c r="C390" s="404">
        <f>D390+K390+L390</f>
        <v>4394719</v>
      </c>
      <c r="D390" s="404">
        <f>E390+F390+G390+H390+I390+J390</f>
        <v>269369</v>
      </c>
      <c r="E390" s="406">
        <v>9142</v>
      </c>
      <c r="F390" s="406">
        <v>0</v>
      </c>
      <c r="G390" s="406">
        <v>70000</v>
      </c>
      <c r="H390" s="406">
        <v>109701</v>
      </c>
      <c r="I390" s="406">
        <v>22151</v>
      </c>
      <c r="J390" s="406">
        <v>58375</v>
      </c>
      <c r="K390" s="406">
        <v>0</v>
      </c>
      <c r="L390" s="406">
        <v>4125350</v>
      </c>
      <c r="M390" s="406" t="e">
        <f>'03'!#REF!+'04'!#REF!</f>
        <v>#REF!</v>
      </c>
      <c r="N390" s="406" t="e">
        <f t="shared" si="92"/>
        <v>#REF!</v>
      </c>
      <c r="O390" s="406" t="e">
        <f>'07'!#REF!</f>
        <v>#REF!</v>
      </c>
      <c r="P390" s="406" t="e">
        <f t="shared" si="93"/>
        <v>#REF!</v>
      </c>
    </row>
    <row r="391" spans="1:16" ht="24.75" customHeight="1" hidden="1">
      <c r="A391" s="394" t="s">
        <v>1</v>
      </c>
      <c r="B391" s="395" t="s">
        <v>134</v>
      </c>
      <c r="C391" s="404">
        <f>D391+K391+L391</f>
        <v>950</v>
      </c>
      <c r="D391" s="404">
        <f>E391+F391+G391+H391+I391+J391</f>
        <v>950</v>
      </c>
      <c r="E391" s="406">
        <v>200</v>
      </c>
      <c r="F391" s="406">
        <v>0</v>
      </c>
      <c r="G391" s="406">
        <v>0</v>
      </c>
      <c r="H391" s="406">
        <v>0</v>
      </c>
      <c r="I391" s="406">
        <v>750</v>
      </c>
      <c r="J391" s="406">
        <v>0</v>
      </c>
      <c r="K391" s="406">
        <v>0</v>
      </c>
      <c r="L391" s="406">
        <v>0</v>
      </c>
      <c r="M391" s="406" t="e">
        <f>'03'!#REF!+'04'!#REF!</f>
        <v>#REF!</v>
      </c>
      <c r="N391" s="406" t="e">
        <f t="shared" si="92"/>
        <v>#REF!</v>
      </c>
      <c r="O391" s="406" t="e">
        <f>'07'!#REF!</f>
        <v>#REF!</v>
      </c>
      <c r="P391" s="406" t="e">
        <f t="shared" si="93"/>
        <v>#REF!</v>
      </c>
    </row>
    <row r="392" spans="1:16" ht="24.75" customHeight="1" hidden="1">
      <c r="A392" s="394" t="s">
        <v>9</v>
      </c>
      <c r="B392" s="395" t="s">
        <v>135</v>
      </c>
      <c r="C392" s="404">
        <f>D392+K392+L392</f>
        <v>0</v>
      </c>
      <c r="D392" s="404">
        <f>E392+F392+G392+H392+I392+J392</f>
        <v>0</v>
      </c>
      <c r="E392" s="406">
        <v>0</v>
      </c>
      <c r="F392" s="406">
        <v>0</v>
      </c>
      <c r="G392" s="406">
        <v>0</v>
      </c>
      <c r="H392" s="406">
        <v>0</v>
      </c>
      <c r="I392" s="406">
        <v>0</v>
      </c>
      <c r="J392" s="406">
        <v>0</v>
      </c>
      <c r="K392" s="406">
        <v>0</v>
      </c>
      <c r="L392" s="406">
        <v>0</v>
      </c>
      <c r="M392" s="406" t="e">
        <f>'03'!#REF!+'04'!#REF!</f>
        <v>#REF!</v>
      </c>
      <c r="N392" s="406" t="e">
        <f t="shared" si="92"/>
        <v>#REF!</v>
      </c>
      <c r="O392" s="406" t="e">
        <f>'07'!#REF!</f>
        <v>#REF!</v>
      </c>
      <c r="P392" s="406" t="e">
        <f t="shared" si="93"/>
        <v>#REF!</v>
      </c>
    </row>
    <row r="393" spans="1:16" ht="24.75" customHeight="1" hidden="1">
      <c r="A393" s="394" t="s">
        <v>136</v>
      </c>
      <c r="B393" s="395" t="s">
        <v>137</v>
      </c>
      <c r="C393" s="404">
        <f>C394+C403</f>
        <v>6960374</v>
      </c>
      <c r="D393" s="404">
        <f aca="true" t="shared" si="94" ref="D393:L393">D394+D403</f>
        <v>1159536</v>
      </c>
      <c r="E393" s="404">
        <f t="shared" si="94"/>
        <v>331449</v>
      </c>
      <c r="F393" s="404">
        <f t="shared" si="94"/>
        <v>0</v>
      </c>
      <c r="G393" s="404">
        <f t="shared" si="94"/>
        <v>382410</v>
      </c>
      <c r="H393" s="404">
        <f t="shared" si="94"/>
        <v>109701</v>
      </c>
      <c r="I393" s="404">
        <f t="shared" si="94"/>
        <v>277601</v>
      </c>
      <c r="J393" s="404">
        <f t="shared" si="94"/>
        <v>58375</v>
      </c>
      <c r="K393" s="404">
        <f t="shared" si="94"/>
        <v>0</v>
      </c>
      <c r="L393" s="404">
        <f t="shared" si="94"/>
        <v>5800838</v>
      </c>
      <c r="M393" s="404" t="e">
        <f>'03'!#REF!+'04'!#REF!</f>
        <v>#REF!</v>
      </c>
      <c r="N393" s="404" t="e">
        <f t="shared" si="92"/>
        <v>#REF!</v>
      </c>
      <c r="O393" s="404" t="e">
        <f>'07'!#REF!</f>
        <v>#REF!</v>
      </c>
      <c r="P393" s="404" t="e">
        <f t="shared" si="93"/>
        <v>#REF!</v>
      </c>
    </row>
    <row r="394" spans="1:16" ht="24.75" customHeight="1" hidden="1">
      <c r="A394" s="394" t="s">
        <v>52</v>
      </c>
      <c r="B394" s="430" t="s">
        <v>138</v>
      </c>
      <c r="C394" s="404">
        <f>SUM(C395:C402)</f>
        <v>6284923</v>
      </c>
      <c r="D394" s="404">
        <f aca="true" t="shared" si="95" ref="D394:L394">SUM(D395:D402)</f>
        <v>484085</v>
      </c>
      <c r="E394" s="404">
        <f t="shared" si="95"/>
        <v>254828</v>
      </c>
      <c r="F394" s="404">
        <f t="shared" si="95"/>
        <v>0</v>
      </c>
      <c r="G394" s="404">
        <f t="shared" si="95"/>
        <v>83280</v>
      </c>
      <c r="H394" s="404">
        <f t="shared" si="95"/>
        <v>1201</v>
      </c>
      <c r="I394" s="404">
        <f t="shared" si="95"/>
        <v>86401</v>
      </c>
      <c r="J394" s="404">
        <f t="shared" si="95"/>
        <v>58375</v>
      </c>
      <c r="K394" s="404">
        <f t="shared" si="95"/>
        <v>0</v>
      </c>
      <c r="L394" s="404">
        <f t="shared" si="95"/>
        <v>5800838</v>
      </c>
      <c r="M394" s="404" t="e">
        <f>'03'!#REF!+'04'!#REF!</f>
        <v>#REF!</v>
      </c>
      <c r="N394" s="404" t="e">
        <f t="shared" si="92"/>
        <v>#REF!</v>
      </c>
      <c r="O394" s="404" t="e">
        <f>'07'!#REF!</f>
        <v>#REF!</v>
      </c>
      <c r="P394" s="404" t="e">
        <f t="shared" si="93"/>
        <v>#REF!</v>
      </c>
    </row>
    <row r="395" spans="1:16" ht="24.75" customHeight="1" hidden="1">
      <c r="A395" s="428" t="s">
        <v>54</v>
      </c>
      <c r="B395" s="429" t="s">
        <v>139</v>
      </c>
      <c r="C395" s="404">
        <f aca="true" t="shared" si="96" ref="C395:C403">D395+K395+L395</f>
        <v>88177</v>
      </c>
      <c r="D395" s="404">
        <f aca="true" t="shared" si="97" ref="D395:D403">E395+F395+G395+H395+I395+J395</f>
        <v>75577</v>
      </c>
      <c r="E395" s="406">
        <v>4500</v>
      </c>
      <c r="F395" s="406">
        <v>0</v>
      </c>
      <c r="G395" s="406">
        <v>10000</v>
      </c>
      <c r="H395" s="406">
        <v>1201</v>
      </c>
      <c r="I395" s="406">
        <v>1501</v>
      </c>
      <c r="J395" s="406">
        <v>58375</v>
      </c>
      <c r="K395" s="406">
        <v>0</v>
      </c>
      <c r="L395" s="406">
        <v>12600</v>
      </c>
      <c r="M395" s="406" t="e">
        <f>'03'!#REF!+'04'!#REF!</f>
        <v>#REF!</v>
      </c>
      <c r="N395" s="406" t="e">
        <f t="shared" si="92"/>
        <v>#REF!</v>
      </c>
      <c r="O395" s="406" t="e">
        <f>'07'!#REF!</f>
        <v>#REF!</v>
      </c>
      <c r="P395" s="406" t="e">
        <f t="shared" si="93"/>
        <v>#REF!</v>
      </c>
    </row>
    <row r="396" spans="1:16" ht="24.75" customHeight="1" hidden="1">
      <c r="A396" s="428" t="s">
        <v>55</v>
      </c>
      <c r="B396" s="429" t="s">
        <v>140</v>
      </c>
      <c r="C396" s="404">
        <f t="shared" si="96"/>
        <v>0</v>
      </c>
      <c r="D396" s="404">
        <f t="shared" si="97"/>
        <v>0</v>
      </c>
      <c r="E396" s="406">
        <v>0</v>
      </c>
      <c r="F396" s="406">
        <v>0</v>
      </c>
      <c r="G396" s="406">
        <v>0</v>
      </c>
      <c r="H396" s="406">
        <v>0</v>
      </c>
      <c r="I396" s="406">
        <v>0</v>
      </c>
      <c r="J396" s="406">
        <v>0</v>
      </c>
      <c r="K396" s="406">
        <v>0</v>
      </c>
      <c r="L396" s="406">
        <v>0</v>
      </c>
      <c r="M396" s="406" t="e">
        <f>'03'!#REF!+'04'!#REF!</f>
        <v>#REF!</v>
      </c>
      <c r="N396" s="406" t="e">
        <f t="shared" si="92"/>
        <v>#REF!</v>
      </c>
      <c r="O396" s="406" t="e">
        <f>'07'!#REF!</f>
        <v>#REF!</v>
      </c>
      <c r="P396" s="406" t="e">
        <f t="shared" si="93"/>
        <v>#REF!</v>
      </c>
    </row>
    <row r="397" spans="1:16" ht="24.75" customHeight="1" hidden="1">
      <c r="A397" s="428" t="s">
        <v>141</v>
      </c>
      <c r="B397" s="429" t="s">
        <v>202</v>
      </c>
      <c r="C397" s="404">
        <f t="shared" si="96"/>
        <v>4500</v>
      </c>
      <c r="D397" s="404">
        <f t="shared" si="97"/>
        <v>4500</v>
      </c>
      <c r="E397" s="406">
        <v>0</v>
      </c>
      <c r="F397" s="406">
        <v>0</v>
      </c>
      <c r="G397" s="406">
        <v>4500</v>
      </c>
      <c r="H397" s="406">
        <v>0</v>
      </c>
      <c r="I397" s="406">
        <v>0</v>
      </c>
      <c r="J397" s="406">
        <v>0</v>
      </c>
      <c r="K397" s="406">
        <v>0</v>
      </c>
      <c r="L397" s="406">
        <v>0</v>
      </c>
      <c r="M397" s="406" t="e">
        <f>'03'!#REF!</f>
        <v>#REF!</v>
      </c>
      <c r="N397" s="406" t="e">
        <f t="shared" si="92"/>
        <v>#REF!</v>
      </c>
      <c r="O397" s="406" t="e">
        <f>'07'!#REF!</f>
        <v>#REF!</v>
      </c>
      <c r="P397" s="406" t="e">
        <f t="shared" si="93"/>
        <v>#REF!</v>
      </c>
    </row>
    <row r="398" spans="1:16" ht="24.75" customHeight="1" hidden="1">
      <c r="A398" s="428" t="s">
        <v>143</v>
      </c>
      <c r="B398" s="429" t="s">
        <v>142</v>
      </c>
      <c r="C398" s="404">
        <f t="shared" si="96"/>
        <v>4418051</v>
      </c>
      <c r="D398" s="404">
        <f t="shared" si="97"/>
        <v>108583</v>
      </c>
      <c r="E398" s="406">
        <v>10903</v>
      </c>
      <c r="F398" s="406">
        <v>0</v>
      </c>
      <c r="G398" s="406">
        <v>61780</v>
      </c>
      <c r="H398" s="406">
        <v>0</v>
      </c>
      <c r="I398" s="406">
        <v>35900</v>
      </c>
      <c r="J398" s="406">
        <v>0</v>
      </c>
      <c r="K398" s="406">
        <v>0</v>
      </c>
      <c r="L398" s="406">
        <v>4309468</v>
      </c>
      <c r="M398" s="406" t="e">
        <f>'03'!#REF!+'04'!#REF!</f>
        <v>#REF!</v>
      </c>
      <c r="N398" s="406" t="e">
        <f t="shared" si="92"/>
        <v>#REF!</v>
      </c>
      <c r="O398" s="406" t="e">
        <f>'07'!#REF!</f>
        <v>#REF!</v>
      </c>
      <c r="P398" s="406" t="e">
        <f t="shared" si="93"/>
        <v>#REF!</v>
      </c>
    </row>
    <row r="399" spans="1:16" ht="24.75" customHeight="1" hidden="1">
      <c r="A399" s="428" t="s">
        <v>145</v>
      </c>
      <c r="B399" s="429" t="s">
        <v>144</v>
      </c>
      <c r="C399" s="404">
        <f t="shared" si="96"/>
        <v>50472</v>
      </c>
      <c r="D399" s="404">
        <f t="shared" si="97"/>
        <v>50472</v>
      </c>
      <c r="E399" s="406">
        <v>1472</v>
      </c>
      <c r="F399" s="406">
        <v>0</v>
      </c>
      <c r="G399" s="406">
        <v>0</v>
      </c>
      <c r="H399" s="406">
        <v>0</v>
      </c>
      <c r="I399" s="406">
        <v>49000</v>
      </c>
      <c r="J399" s="406">
        <v>0</v>
      </c>
      <c r="K399" s="406">
        <v>0</v>
      </c>
      <c r="L399" s="406">
        <v>0</v>
      </c>
      <c r="M399" s="406" t="e">
        <f>'03'!#REF!+'04'!#REF!</f>
        <v>#REF!</v>
      </c>
      <c r="N399" s="406" t="e">
        <f t="shared" si="92"/>
        <v>#REF!</v>
      </c>
      <c r="O399" s="406" t="e">
        <f>'07'!#REF!</f>
        <v>#REF!</v>
      </c>
      <c r="P399" s="406" t="e">
        <f t="shared" si="93"/>
        <v>#REF!</v>
      </c>
    </row>
    <row r="400" spans="1:16" ht="24.75" customHeight="1" hidden="1">
      <c r="A400" s="428" t="s">
        <v>147</v>
      </c>
      <c r="B400" s="429" t="s">
        <v>146</v>
      </c>
      <c r="C400" s="404">
        <f t="shared" si="96"/>
        <v>0</v>
      </c>
      <c r="D400" s="404">
        <f t="shared" si="97"/>
        <v>0</v>
      </c>
      <c r="E400" s="406">
        <v>0</v>
      </c>
      <c r="F400" s="406">
        <v>0</v>
      </c>
      <c r="G400" s="406">
        <v>0</v>
      </c>
      <c r="H400" s="406">
        <v>0</v>
      </c>
      <c r="I400" s="406">
        <v>0</v>
      </c>
      <c r="J400" s="406">
        <v>0</v>
      </c>
      <c r="K400" s="406">
        <v>0</v>
      </c>
      <c r="L400" s="406">
        <v>0</v>
      </c>
      <c r="M400" s="406" t="e">
        <f>'03'!#REF!+'04'!#REF!</f>
        <v>#REF!</v>
      </c>
      <c r="N400" s="406" t="e">
        <f t="shared" si="92"/>
        <v>#REF!</v>
      </c>
      <c r="O400" s="406" t="e">
        <f>'07'!#REF!</f>
        <v>#REF!</v>
      </c>
      <c r="P400" s="406" t="e">
        <f t="shared" si="93"/>
        <v>#REF!</v>
      </c>
    </row>
    <row r="401" spans="1:16" ht="24.75" customHeight="1" hidden="1">
      <c r="A401" s="428" t="s">
        <v>149</v>
      </c>
      <c r="B401" s="431" t="s">
        <v>148</v>
      </c>
      <c r="C401" s="404">
        <f t="shared" si="96"/>
        <v>0</v>
      </c>
      <c r="D401" s="404">
        <f t="shared" si="97"/>
        <v>0</v>
      </c>
      <c r="E401" s="406">
        <v>0</v>
      </c>
      <c r="F401" s="406">
        <v>0</v>
      </c>
      <c r="G401" s="406">
        <v>0</v>
      </c>
      <c r="H401" s="406">
        <v>0</v>
      </c>
      <c r="I401" s="406">
        <v>0</v>
      </c>
      <c r="J401" s="406">
        <v>0</v>
      </c>
      <c r="K401" s="406">
        <v>0</v>
      </c>
      <c r="L401" s="406">
        <v>0</v>
      </c>
      <c r="M401" s="406" t="e">
        <f>'03'!#REF!+'04'!#REF!</f>
        <v>#REF!</v>
      </c>
      <c r="N401" s="406" t="e">
        <f t="shared" si="92"/>
        <v>#REF!</v>
      </c>
      <c r="O401" s="406" t="e">
        <f>'07'!#REF!</f>
        <v>#REF!</v>
      </c>
      <c r="P401" s="406" t="e">
        <f t="shared" si="93"/>
        <v>#REF!</v>
      </c>
    </row>
    <row r="402" spans="1:16" ht="24.75" customHeight="1" hidden="1">
      <c r="A402" s="428" t="s">
        <v>186</v>
      </c>
      <c r="B402" s="429" t="s">
        <v>150</v>
      </c>
      <c r="C402" s="404">
        <f t="shared" si="96"/>
        <v>1723723</v>
      </c>
      <c r="D402" s="404">
        <f t="shared" si="97"/>
        <v>244953</v>
      </c>
      <c r="E402" s="406">
        <v>237953</v>
      </c>
      <c r="F402" s="406">
        <v>0</v>
      </c>
      <c r="G402" s="406">
        <v>7000</v>
      </c>
      <c r="H402" s="406">
        <v>0</v>
      </c>
      <c r="I402" s="406">
        <v>0</v>
      </c>
      <c r="J402" s="406">
        <v>0</v>
      </c>
      <c r="K402" s="406">
        <v>0</v>
      </c>
      <c r="L402" s="406">
        <v>1478770</v>
      </c>
      <c r="M402" s="406" t="e">
        <f>'03'!#REF!+'04'!#REF!</f>
        <v>#REF!</v>
      </c>
      <c r="N402" s="406" t="e">
        <f t="shared" si="92"/>
        <v>#REF!</v>
      </c>
      <c r="O402" s="406" t="e">
        <f>'07'!#REF!</f>
        <v>#REF!</v>
      </c>
      <c r="P402" s="406" t="e">
        <f t="shared" si="93"/>
        <v>#REF!</v>
      </c>
    </row>
    <row r="403" spans="1:16" ht="24.75" customHeight="1" hidden="1">
      <c r="A403" s="394" t="s">
        <v>53</v>
      </c>
      <c r="B403" s="395" t="s">
        <v>151</v>
      </c>
      <c r="C403" s="404">
        <f t="shared" si="96"/>
        <v>675451</v>
      </c>
      <c r="D403" s="404">
        <f t="shared" si="97"/>
        <v>675451</v>
      </c>
      <c r="E403" s="406">
        <v>76621</v>
      </c>
      <c r="F403" s="406">
        <v>0</v>
      </c>
      <c r="G403" s="406">
        <v>299130</v>
      </c>
      <c r="H403" s="406">
        <v>108500</v>
      </c>
      <c r="I403" s="406">
        <v>191200</v>
      </c>
      <c r="J403" s="406">
        <v>0</v>
      </c>
      <c r="K403" s="406">
        <v>0</v>
      </c>
      <c r="L403" s="406">
        <v>0</v>
      </c>
      <c r="M403" s="404" t="e">
        <f>'03'!#REF!+'04'!#REF!</f>
        <v>#REF!</v>
      </c>
      <c r="N403" s="404" t="e">
        <f t="shared" si="92"/>
        <v>#REF!</v>
      </c>
      <c r="O403" s="404" t="e">
        <f>'07'!#REF!</f>
        <v>#REF!</v>
      </c>
      <c r="P403" s="404" t="e">
        <f t="shared" si="93"/>
        <v>#REF!</v>
      </c>
    </row>
    <row r="404" spans="1:16" ht="24.75" customHeight="1" hidden="1">
      <c r="A404" s="453" t="s">
        <v>76</v>
      </c>
      <c r="B404" s="478" t="s">
        <v>215</v>
      </c>
      <c r="C404" s="462">
        <f>(C395+C396+C397)/C394</f>
        <v>0.014745924492631016</v>
      </c>
      <c r="D404" s="396">
        <f aca="true" t="shared" si="98" ref="D404:L404">(D395+D396+D397)/D394</f>
        <v>0.16541929619798176</v>
      </c>
      <c r="E404" s="412">
        <f t="shared" si="98"/>
        <v>0.017658969971902617</v>
      </c>
      <c r="F404" s="412" t="e">
        <f t="shared" si="98"/>
        <v>#DIV/0!</v>
      </c>
      <c r="G404" s="412">
        <f t="shared" si="98"/>
        <v>0.17411143131604226</v>
      </c>
      <c r="H404" s="412">
        <f t="shared" si="98"/>
        <v>1</v>
      </c>
      <c r="I404" s="412">
        <f t="shared" si="98"/>
        <v>0.01737248411476719</v>
      </c>
      <c r="J404" s="412">
        <f t="shared" si="98"/>
        <v>1</v>
      </c>
      <c r="K404" s="412" t="e">
        <f t="shared" si="98"/>
        <v>#DIV/0!</v>
      </c>
      <c r="L404" s="412">
        <f t="shared" si="98"/>
        <v>0.0021720999621089227</v>
      </c>
      <c r="M404" s="422"/>
      <c r="N404" s="479"/>
      <c r="O404" s="479"/>
      <c r="P404" s="479"/>
    </row>
    <row r="405" spans="1:16" ht="17.25" hidden="1">
      <c r="A405" s="1537" t="s">
        <v>498</v>
      </c>
      <c r="B405" s="1537"/>
      <c r="C405" s="406">
        <f>C388-C391-C392-C393</f>
        <v>0</v>
      </c>
      <c r="D405" s="406">
        <f aca="true" t="shared" si="99" ref="D405:L405">D388-D391-D392-D393</f>
        <v>0</v>
      </c>
      <c r="E405" s="406">
        <f t="shared" si="99"/>
        <v>0</v>
      </c>
      <c r="F405" s="406">
        <f t="shared" si="99"/>
        <v>0</v>
      </c>
      <c r="G405" s="406">
        <f t="shared" si="99"/>
        <v>0</v>
      </c>
      <c r="H405" s="406">
        <f t="shared" si="99"/>
        <v>0</v>
      </c>
      <c r="I405" s="406">
        <f t="shared" si="99"/>
        <v>0</v>
      </c>
      <c r="J405" s="406">
        <f t="shared" si="99"/>
        <v>0</v>
      </c>
      <c r="K405" s="406">
        <f t="shared" si="99"/>
        <v>0</v>
      </c>
      <c r="L405" s="406">
        <f t="shared" si="99"/>
        <v>0</v>
      </c>
      <c r="M405" s="422"/>
      <c r="N405" s="479"/>
      <c r="O405" s="479"/>
      <c r="P405" s="479"/>
    </row>
    <row r="406" spans="1:16" ht="17.25" hidden="1">
      <c r="A406" s="1538" t="s">
        <v>499</v>
      </c>
      <c r="B406" s="1538"/>
      <c r="C406" s="406">
        <f>C393-C394-C403</f>
        <v>0</v>
      </c>
      <c r="D406" s="406">
        <f aca="true" t="shared" si="100" ref="D406:L406">D393-D394-D403</f>
        <v>0</v>
      </c>
      <c r="E406" s="406">
        <f t="shared" si="100"/>
        <v>0</v>
      </c>
      <c r="F406" s="406">
        <f t="shared" si="100"/>
        <v>0</v>
      </c>
      <c r="G406" s="406">
        <f t="shared" si="100"/>
        <v>0</v>
      </c>
      <c r="H406" s="406">
        <f t="shared" si="100"/>
        <v>0</v>
      </c>
      <c r="I406" s="406">
        <f t="shared" si="100"/>
        <v>0</v>
      </c>
      <c r="J406" s="406">
        <f t="shared" si="100"/>
        <v>0</v>
      </c>
      <c r="K406" s="406">
        <f t="shared" si="100"/>
        <v>0</v>
      </c>
      <c r="L406" s="406">
        <f t="shared" si="100"/>
        <v>0</v>
      </c>
      <c r="M406" s="422"/>
      <c r="N406" s="479"/>
      <c r="O406" s="479"/>
      <c r="P406" s="479"/>
    </row>
    <row r="407" spans="1:16" ht="18.75" hidden="1">
      <c r="A407" s="464"/>
      <c r="B407" s="480" t="s">
        <v>518</v>
      </c>
      <c r="C407" s="480"/>
      <c r="D407" s="454"/>
      <c r="E407" s="454"/>
      <c r="F407" s="454"/>
      <c r="G407" s="1564" t="s">
        <v>518</v>
      </c>
      <c r="H407" s="1564"/>
      <c r="I407" s="1564"/>
      <c r="J407" s="1564"/>
      <c r="K407" s="1564"/>
      <c r="L407" s="1564"/>
      <c r="M407" s="467"/>
      <c r="N407" s="467"/>
      <c r="O407" s="467"/>
      <c r="P407" s="467"/>
    </row>
    <row r="408" spans="1:16" ht="18.75" hidden="1">
      <c r="A408" s="1565" t="s">
        <v>4</v>
      </c>
      <c r="B408" s="1565"/>
      <c r="C408" s="1565"/>
      <c r="D408" s="1565"/>
      <c r="E408" s="454"/>
      <c r="F408" s="454"/>
      <c r="G408" s="481"/>
      <c r="H408" s="1566" t="s">
        <v>519</v>
      </c>
      <c r="I408" s="1566"/>
      <c r="J408" s="1566"/>
      <c r="K408" s="1566"/>
      <c r="L408" s="1566"/>
      <c r="M408" s="467"/>
      <c r="N408" s="467"/>
      <c r="O408" s="467"/>
      <c r="P408" s="467"/>
    </row>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spans="1:13" ht="16.5" hidden="1">
      <c r="A425" s="1549" t="s">
        <v>33</v>
      </c>
      <c r="B425" s="1550"/>
      <c r="C425" s="463"/>
      <c r="D425" s="1526" t="s">
        <v>79</v>
      </c>
      <c r="E425" s="1526"/>
      <c r="F425" s="1526"/>
      <c r="G425" s="1526"/>
      <c r="H425" s="1526"/>
      <c r="I425" s="1526"/>
      <c r="J425" s="1526"/>
      <c r="K425" s="1551"/>
      <c r="L425" s="1551"/>
      <c r="M425" s="467"/>
    </row>
    <row r="426" spans="1:13" ht="16.5" hidden="1">
      <c r="A426" s="1517" t="s">
        <v>342</v>
      </c>
      <c r="B426" s="1517"/>
      <c r="C426" s="1517"/>
      <c r="D426" s="1526" t="s">
        <v>216</v>
      </c>
      <c r="E426" s="1526"/>
      <c r="F426" s="1526"/>
      <c r="G426" s="1526"/>
      <c r="H426" s="1526"/>
      <c r="I426" s="1526"/>
      <c r="J426" s="1526"/>
      <c r="K426" s="1563" t="s">
        <v>514</v>
      </c>
      <c r="L426" s="1563"/>
      <c r="M426" s="464"/>
    </row>
    <row r="427" spans="1:13" ht="16.5" hidden="1">
      <c r="A427" s="1517" t="s">
        <v>343</v>
      </c>
      <c r="B427" s="1517"/>
      <c r="C427" s="413"/>
      <c r="D427" s="1530" t="s">
        <v>11</v>
      </c>
      <c r="E427" s="1530"/>
      <c r="F427" s="1530"/>
      <c r="G427" s="1530"/>
      <c r="H427" s="1530"/>
      <c r="I427" s="1530"/>
      <c r="J427" s="1530"/>
      <c r="K427" s="1551"/>
      <c r="L427" s="1551"/>
      <c r="M427" s="467"/>
    </row>
    <row r="428" spans="1:13" ht="15.75" hidden="1">
      <c r="A428" s="433" t="s">
        <v>119</v>
      </c>
      <c r="B428" s="433"/>
      <c r="C428" s="418"/>
      <c r="D428" s="468"/>
      <c r="E428" s="468"/>
      <c r="F428" s="469"/>
      <c r="G428" s="469"/>
      <c r="H428" s="469"/>
      <c r="I428" s="469"/>
      <c r="J428" s="469"/>
      <c r="K428" s="1567"/>
      <c r="L428" s="1567"/>
      <c r="M428" s="464"/>
    </row>
    <row r="429" spans="1:13" ht="15.75" hidden="1">
      <c r="A429" s="468"/>
      <c r="B429" s="468" t="s">
        <v>94</v>
      </c>
      <c r="C429" s="468"/>
      <c r="D429" s="468"/>
      <c r="E429" s="468"/>
      <c r="F429" s="468"/>
      <c r="G429" s="468"/>
      <c r="H429" s="468"/>
      <c r="I429" s="468"/>
      <c r="J429" s="468"/>
      <c r="K429" s="1552"/>
      <c r="L429" s="1552"/>
      <c r="M429" s="464"/>
    </row>
    <row r="430" spans="1:13" ht="15.75" hidden="1">
      <c r="A430" s="1245" t="s">
        <v>71</v>
      </c>
      <c r="B430" s="1246"/>
      <c r="C430" s="1531" t="s">
        <v>38</v>
      </c>
      <c r="D430" s="1553" t="s">
        <v>339</v>
      </c>
      <c r="E430" s="1553"/>
      <c r="F430" s="1553"/>
      <c r="G430" s="1553"/>
      <c r="H430" s="1553"/>
      <c r="I430" s="1553"/>
      <c r="J430" s="1553"/>
      <c r="K430" s="1553"/>
      <c r="L430" s="1553"/>
      <c r="M430" s="467"/>
    </row>
    <row r="431" spans="1:13" ht="15.75" hidden="1">
      <c r="A431" s="1247"/>
      <c r="B431" s="1248"/>
      <c r="C431" s="1531"/>
      <c r="D431" s="1568" t="s">
        <v>207</v>
      </c>
      <c r="E431" s="1569"/>
      <c r="F431" s="1569"/>
      <c r="G431" s="1569"/>
      <c r="H431" s="1569"/>
      <c r="I431" s="1569"/>
      <c r="J431" s="1570"/>
      <c r="K431" s="1571" t="s">
        <v>208</v>
      </c>
      <c r="L431" s="1571" t="s">
        <v>209</v>
      </c>
      <c r="M431" s="464"/>
    </row>
    <row r="432" spans="1:13" ht="15.75" hidden="1">
      <c r="A432" s="1247"/>
      <c r="B432" s="1248"/>
      <c r="C432" s="1531"/>
      <c r="D432" s="1576" t="s">
        <v>37</v>
      </c>
      <c r="E432" s="1577" t="s">
        <v>7</v>
      </c>
      <c r="F432" s="1578"/>
      <c r="G432" s="1578"/>
      <c r="H432" s="1578"/>
      <c r="I432" s="1578"/>
      <c r="J432" s="1579"/>
      <c r="K432" s="1572"/>
      <c r="L432" s="1574"/>
      <c r="M432" s="464"/>
    </row>
    <row r="433" spans="1:16" ht="15.75" hidden="1">
      <c r="A433" s="1535"/>
      <c r="B433" s="1536"/>
      <c r="C433" s="1531"/>
      <c r="D433" s="1576"/>
      <c r="E433" s="470" t="s">
        <v>210</v>
      </c>
      <c r="F433" s="470" t="s">
        <v>211</v>
      </c>
      <c r="G433" s="470" t="s">
        <v>212</v>
      </c>
      <c r="H433" s="470" t="s">
        <v>213</v>
      </c>
      <c r="I433" s="470" t="s">
        <v>344</v>
      </c>
      <c r="J433" s="470" t="s">
        <v>214</v>
      </c>
      <c r="K433" s="1573"/>
      <c r="L433" s="1575"/>
      <c r="M433" s="1529" t="s">
        <v>500</v>
      </c>
      <c r="N433" s="1529"/>
      <c r="O433" s="1529"/>
      <c r="P433" s="1529"/>
    </row>
    <row r="434" spans="1:16" ht="15" hidden="1">
      <c r="A434" s="1533" t="s">
        <v>6</v>
      </c>
      <c r="B434" s="1534"/>
      <c r="C434" s="471">
        <v>1</v>
      </c>
      <c r="D434" s="472">
        <v>2</v>
      </c>
      <c r="E434" s="471">
        <v>3</v>
      </c>
      <c r="F434" s="472">
        <v>4</v>
      </c>
      <c r="G434" s="471">
        <v>5</v>
      </c>
      <c r="H434" s="472">
        <v>6</v>
      </c>
      <c r="I434" s="471">
        <v>7</v>
      </c>
      <c r="J434" s="472">
        <v>8</v>
      </c>
      <c r="K434" s="471">
        <v>9</v>
      </c>
      <c r="L434" s="472">
        <v>10</v>
      </c>
      <c r="M434" s="473" t="s">
        <v>501</v>
      </c>
      <c r="N434" s="474" t="s">
        <v>504</v>
      </c>
      <c r="O434" s="474" t="s">
        <v>502</v>
      </c>
      <c r="P434" s="474" t="s">
        <v>503</v>
      </c>
    </row>
    <row r="435" spans="1:16" ht="24.75" customHeight="1" hidden="1">
      <c r="A435" s="425" t="s">
        <v>0</v>
      </c>
      <c r="B435" s="426" t="s">
        <v>131</v>
      </c>
      <c r="C435" s="404">
        <f>C436+C437</f>
        <v>5449092</v>
      </c>
      <c r="D435" s="404">
        <f aca="true" t="shared" si="101" ref="D435:L435">D436+D437</f>
        <v>447871</v>
      </c>
      <c r="E435" s="404">
        <f t="shared" si="101"/>
        <v>262468</v>
      </c>
      <c r="F435" s="404">
        <f t="shared" si="101"/>
        <v>0</v>
      </c>
      <c r="G435" s="404">
        <f t="shared" si="101"/>
        <v>115140</v>
      </c>
      <c r="H435" s="404">
        <f t="shared" si="101"/>
        <v>16950</v>
      </c>
      <c r="I435" s="404">
        <f t="shared" si="101"/>
        <v>21311</v>
      </c>
      <c r="J435" s="404">
        <f t="shared" si="101"/>
        <v>32002</v>
      </c>
      <c r="K435" s="404">
        <f t="shared" si="101"/>
        <v>0</v>
      </c>
      <c r="L435" s="404">
        <f t="shared" si="101"/>
        <v>5001221</v>
      </c>
      <c r="M435" s="404" t="e">
        <f>'03'!#REF!+'04'!#REF!</f>
        <v>#REF!</v>
      </c>
      <c r="N435" s="404" t="e">
        <f>C435-M435</f>
        <v>#REF!</v>
      </c>
      <c r="O435" s="404" t="e">
        <f>'07'!#REF!</f>
        <v>#REF!</v>
      </c>
      <c r="P435" s="404" t="e">
        <f>C435-O435</f>
        <v>#REF!</v>
      </c>
    </row>
    <row r="436" spans="1:16" ht="24.75" customHeight="1" hidden="1">
      <c r="A436" s="428">
        <v>1</v>
      </c>
      <c r="B436" s="429" t="s">
        <v>132</v>
      </c>
      <c r="C436" s="404">
        <f>D436+K436+L436</f>
        <v>4888044</v>
      </c>
      <c r="D436" s="404">
        <f>E436+F436+G436+H436+I436+J436</f>
        <v>376330</v>
      </c>
      <c r="E436" s="406">
        <v>238379</v>
      </c>
      <c r="F436" s="406"/>
      <c r="G436" s="406">
        <v>115140</v>
      </c>
      <c r="H436" s="406">
        <v>1500</v>
      </c>
      <c r="I436" s="406">
        <v>21311</v>
      </c>
      <c r="J436" s="406"/>
      <c r="K436" s="406"/>
      <c r="L436" s="406">
        <v>4511714</v>
      </c>
      <c r="M436" s="406" t="e">
        <f>'03'!#REF!+'04'!#REF!</f>
        <v>#REF!</v>
      </c>
      <c r="N436" s="406" t="e">
        <f aca="true" t="shared" si="102" ref="N436:N450">C436-M436</f>
        <v>#REF!</v>
      </c>
      <c r="O436" s="406" t="e">
        <f>'07'!#REF!</f>
        <v>#REF!</v>
      </c>
      <c r="P436" s="406" t="e">
        <f aca="true" t="shared" si="103" ref="P436:P450">C436-O436</f>
        <v>#REF!</v>
      </c>
    </row>
    <row r="437" spans="1:16" ht="24.75" customHeight="1" hidden="1">
      <c r="A437" s="428">
        <v>2</v>
      </c>
      <c r="B437" s="429" t="s">
        <v>133</v>
      </c>
      <c r="C437" s="404">
        <f>D437+K437+L437</f>
        <v>561048</v>
      </c>
      <c r="D437" s="404">
        <f>E437+F437+G437+H437+I437+J437</f>
        <v>71541</v>
      </c>
      <c r="E437" s="406">
        <v>24089</v>
      </c>
      <c r="F437" s="406">
        <v>0</v>
      </c>
      <c r="G437" s="406">
        <v>0</v>
      </c>
      <c r="H437" s="406">
        <v>15450</v>
      </c>
      <c r="I437" s="406">
        <v>0</v>
      </c>
      <c r="J437" s="406">
        <v>32002</v>
      </c>
      <c r="K437" s="406">
        <v>0</v>
      </c>
      <c r="L437" s="406">
        <v>489507</v>
      </c>
      <c r="M437" s="406" t="e">
        <f>'03'!#REF!+'04'!#REF!</f>
        <v>#REF!</v>
      </c>
      <c r="N437" s="406" t="e">
        <f t="shared" si="102"/>
        <v>#REF!</v>
      </c>
      <c r="O437" s="406" t="e">
        <f>'07'!#REF!</f>
        <v>#REF!</v>
      </c>
      <c r="P437" s="406" t="e">
        <f t="shared" si="103"/>
        <v>#REF!</v>
      </c>
    </row>
    <row r="438" spans="1:16" ht="24.75" customHeight="1" hidden="1">
      <c r="A438" s="394" t="s">
        <v>1</v>
      </c>
      <c r="B438" s="395" t="s">
        <v>134</v>
      </c>
      <c r="C438" s="404">
        <f>D438+K438+L438</f>
        <v>200</v>
      </c>
      <c r="D438" s="404">
        <f>E438+F438+G438+H438+I438+J438</f>
        <v>200</v>
      </c>
      <c r="E438" s="406">
        <v>200</v>
      </c>
      <c r="F438" s="406">
        <v>0</v>
      </c>
      <c r="G438" s="406">
        <v>0</v>
      </c>
      <c r="H438" s="406">
        <v>0</v>
      </c>
      <c r="I438" s="406">
        <v>0</v>
      </c>
      <c r="J438" s="406">
        <v>0</v>
      </c>
      <c r="K438" s="406">
        <v>0</v>
      </c>
      <c r="L438" s="406">
        <v>0</v>
      </c>
      <c r="M438" s="406" t="e">
        <f>'03'!#REF!+'04'!#REF!</f>
        <v>#REF!</v>
      </c>
      <c r="N438" s="406" t="e">
        <f t="shared" si="102"/>
        <v>#REF!</v>
      </c>
      <c r="O438" s="406" t="e">
        <f>'07'!#REF!</f>
        <v>#REF!</v>
      </c>
      <c r="P438" s="406" t="e">
        <f t="shared" si="103"/>
        <v>#REF!</v>
      </c>
    </row>
    <row r="439" spans="1:16" ht="24.75" customHeight="1" hidden="1">
      <c r="A439" s="394" t="s">
        <v>9</v>
      </c>
      <c r="B439" s="395" t="s">
        <v>135</v>
      </c>
      <c r="C439" s="404">
        <f>D439+K439+L439</f>
        <v>0</v>
      </c>
      <c r="D439" s="404">
        <f>E439+F439+G439+H439+I439+J439</f>
        <v>0</v>
      </c>
      <c r="E439" s="406">
        <v>0</v>
      </c>
      <c r="F439" s="406">
        <v>0</v>
      </c>
      <c r="G439" s="406">
        <v>0</v>
      </c>
      <c r="H439" s="406">
        <v>0</v>
      </c>
      <c r="I439" s="406">
        <v>0</v>
      </c>
      <c r="J439" s="406">
        <v>0</v>
      </c>
      <c r="K439" s="406">
        <v>0</v>
      </c>
      <c r="L439" s="406">
        <v>0</v>
      </c>
      <c r="M439" s="406" t="e">
        <f>'03'!#REF!+'04'!#REF!</f>
        <v>#REF!</v>
      </c>
      <c r="N439" s="406" t="e">
        <f t="shared" si="102"/>
        <v>#REF!</v>
      </c>
      <c r="O439" s="406" t="e">
        <f>'07'!#REF!</f>
        <v>#REF!</v>
      </c>
      <c r="P439" s="406" t="e">
        <f t="shared" si="103"/>
        <v>#REF!</v>
      </c>
    </row>
    <row r="440" spans="1:16" ht="24.75" customHeight="1" hidden="1">
      <c r="A440" s="394" t="s">
        <v>136</v>
      </c>
      <c r="B440" s="395" t="s">
        <v>137</v>
      </c>
      <c r="C440" s="404">
        <f>C441+C450</f>
        <v>5448892</v>
      </c>
      <c r="D440" s="404">
        <f aca="true" t="shared" si="104" ref="D440:L440">D441+D450</f>
        <v>447671</v>
      </c>
      <c r="E440" s="404">
        <f t="shared" si="104"/>
        <v>262268</v>
      </c>
      <c r="F440" s="404">
        <f t="shared" si="104"/>
        <v>0</v>
      </c>
      <c r="G440" s="404">
        <f t="shared" si="104"/>
        <v>115140</v>
      </c>
      <c r="H440" s="404">
        <f t="shared" si="104"/>
        <v>16950</v>
      </c>
      <c r="I440" s="404">
        <f t="shared" si="104"/>
        <v>21311</v>
      </c>
      <c r="J440" s="404">
        <f t="shared" si="104"/>
        <v>32002</v>
      </c>
      <c r="K440" s="404">
        <f t="shared" si="104"/>
        <v>0</v>
      </c>
      <c r="L440" s="404">
        <f t="shared" si="104"/>
        <v>5001221</v>
      </c>
      <c r="M440" s="404" t="e">
        <f>'03'!#REF!+'04'!#REF!</f>
        <v>#REF!</v>
      </c>
      <c r="N440" s="404" t="e">
        <f t="shared" si="102"/>
        <v>#REF!</v>
      </c>
      <c r="O440" s="404" t="e">
        <f>'07'!#REF!</f>
        <v>#REF!</v>
      </c>
      <c r="P440" s="404" t="e">
        <f t="shared" si="103"/>
        <v>#REF!</v>
      </c>
    </row>
    <row r="441" spans="1:16" ht="24.75" customHeight="1" hidden="1">
      <c r="A441" s="394" t="s">
        <v>52</v>
      </c>
      <c r="B441" s="430" t="s">
        <v>138</v>
      </c>
      <c r="C441" s="404">
        <f>SUM(C442:C449)</f>
        <v>5109785</v>
      </c>
      <c r="D441" s="404">
        <f aca="true" t="shared" si="105" ref="D441:L441">SUM(D442:D449)</f>
        <v>108564</v>
      </c>
      <c r="E441" s="404">
        <f t="shared" si="105"/>
        <v>56612</v>
      </c>
      <c r="F441" s="404">
        <f t="shared" si="105"/>
        <v>0</v>
      </c>
      <c r="G441" s="404">
        <f t="shared" si="105"/>
        <v>4500</v>
      </c>
      <c r="H441" s="404">
        <f t="shared" si="105"/>
        <v>15450</v>
      </c>
      <c r="I441" s="404">
        <f t="shared" si="105"/>
        <v>0</v>
      </c>
      <c r="J441" s="404">
        <f t="shared" si="105"/>
        <v>32002</v>
      </c>
      <c r="K441" s="404">
        <f t="shared" si="105"/>
        <v>0</v>
      </c>
      <c r="L441" s="404">
        <f t="shared" si="105"/>
        <v>5001221</v>
      </c>
      <c r="M441" s="404" t="e">
        <f>'03'!#REF!+'04'!#REF!</f>
        <v>#REF!</v>
      </c>
      <c r="N441" s="404" t="e">
        <f t="shared" si="102"/>
        <v>#REF!</v>
      </c>
      <c r="O441" s="404" t="e">
        <f>'07'!#REF!</f>
        <v>#REF!</v>
      </c>
      <c r="P441" s="404" t="e">
        <f t="shared" si="103"/>
        <v>#REF!</v>
      </c>
    </row>
    <row r="442" spans="1:16" ht="24.75" customHeight="1" hidden="1">
      <c r="A442" s="428" t="s">
        <v>54</v>
      </c>
      <c r="B442" s="429" t="s">
        <v>139</v>
      </c>
      <c r="C442" s="404">
        <f aca="true" t="shared" si="106" ref="C442:C450">D442+K442+L442</f>
        <v>96608</v>
      </c>
      <c r="D442" s="404">
        <f aca="true" t="shared" si="107" ref="D442:D450">E442+F442+G442+H442+I442+J442</f>
        <v>53844</v>
      </c>
      <c r="E442" s="406">
        <v>9692</v>
      </c>
      <c r="F442" s="406">
        <v>0</v>
      </c>
      <c r="G442" s="406">
        <v>0</v>
      </c>
      <c r="H442" s="406">
        <v>12150</v>
      </c>
      <c r="I442" s="406">
        <v>0</v>
      </c>
      <c r="J442" s="406">
        <v>32002</v>
      </c>
      <c r="K442" s="406">
        <v>0</v>
      </c>
      <c r="L442" s="406">
        <v>42764</v>
      </c>
      <c r="M442" s="406" t="e">
        <f>'03'!#REF!+'04'!#REF!</f>
        <v>#REF!</v>
      </c>
      <c r="N442" s="406" t="e">
        <f t="shared" si="102"/>
        <v>#REF!</v>
      </c>
      <c r="O442" s="406" t="e">
        <f>'07'!#REF!</f>
        <v>#REF!</v>
      </c>
      <c r="P442" s="406" t="e">
        <f t="shared" si="103"/>
        <v>#REF!</v>
      </c>
    </row>
    <row r="443" spans="1:16" ht="24.75" customHeight="1" hidden="1">
      <c r="A443" s="428" t="s">
        <v>55</v>
      </c>
      <c r="B443" s="429" t="s">
        <v>140</v>
      </c>
      <c r="C443" s="404">
        <f t="shared" si="106"/>
        <v>0</v>
      </c>
      <c r="D443" s="404">
        <f t="shared" si="107"/>
        <v>0</v>
      </c>
      <c r="E443" s="406">
        <v>0</v>
      </c>
      <c r="F443" s="406">
        <v>0</v>
      </c>
      <c r="G443" s="406">
        <v>0</v>
      </c>
      <c r="H443" s="406">
        <v>0</v>
      </c>
      <c r="I443" s="406">
        <v>0</v>
      </c>
      <c r="J443" s="406">
        <v>0</v>
      </c>
      <c r="K443" s="406">
        <v>0</v>
      </c>
      <c r="L443" s="406">
        <v>0</v>
      </c>
      <c r="M443" s="406" t="e">
        <f>'03'!#REF!+'04'!#REF!</f>
        <v>#REF!</v>
      </c>
      <c r="N443" s="406" t="e">
        <f t="shared" si="102"/>
        <v>#REF!</v>
      </c>
      <c r="O443" s="406" t="e">
        <f>'07'!#REF!</f>
        <v>#REF!</v>
      </c>
      <c r="P443" s="406" t="e">
        <f t="shared" si="103"/>
        <v>#REF!</v>
      </c>
    </row>
    <row r="444" spans="1:16" ht="24.75" customHeight="1" hidden="1">
      <c r="A444" s="428" t="s">
        <v>141</v>
      </c>
      <c r="B444" s="429" t="s">
        <v>202</v>
      </c>
      <c r="C444" s="404">
        <f t="shared" si="106"/>
        <v>0</v>
      </c>
      <c r="D444" s="404">
        <f t="shared" si="107"/>
        <v>0</v>
      </c>
      <c r="E444" s="406">
        <v>0</v>
      </c>
      <c r="F444" s="406">
        <v>0</v>
      </c>
      <c r="G444" s="406">
        <v>0</v>
      </c>
      <c r="H444" s="406">
        <v>0</v>
      </c>
      <c r="I444" s="406">
        <v>0</v>
      </c>
      <c r="J444" s="406">
        <v>0</v>
      </c>
      <c r="K444" s="406">
        <v>0</v>
      </c>
      <c r="L444" s="406">
        <v>0</v>
      </c>
      <c r="M444" s="406" t="e">
        <f>'03'!#REF!</f>
        <v>#REF!</v>
      </c>
      <c r="N444" s="406" t="e">
        <f t="shared" si="102"/>
        <v>#REF!</v>
      </c>
      <c r="O444" s="406" t="e">
        <f>'07'!#REF!</f>
        <v>#REF!</v>
      </c>
      <c r="P444" s="406" t="e">
        <f t="shared" si="103"/>
        <v>#REF!</v>
      </c>
    </row>
    <row r="445" spans="1:16" ht="24.75" customHeight="1" hidden="1">
      <c r="A445" s="428" t="s">
        <v>143</v>
      </c>
      <c r="B445" s="429" t="s">
        <v>142</v>
      </c>
      <c r="C445" s="404">
        <f t="shared" si="106"/>
        <v>539464</v>
      </c>
      <c r="D445" s="404">
        <f t="shared" si="107"/>
        <v>54720</v>
      </c>
      <c r="E445" s="406">
        <v>46920</v>
      </c>
      <c r="F445" s="406"/>
      <c r="G445" s="406">
        <v>4500</v>
      </c>
      <c r="H445" s="406">
        <v>3300</v>
      </c>
      <c r="I445" s="406">
        <v>0</v>
      </c>
      <c r="J445" s="406">
        <v>0</v>
      </c>
      <c r="K445" s="406">
        <v>0</v>
      </c>
      <c r="L445" s="406">
        <v>484744</v>
      </c>
      <c r="M445" s="406" t="e">
        <f>'03'!#REF!+'04'!#REF!</f>
        <v>#REF!</v>
      </c>
      <c r="N445" s="406" t="e">
        <f t="shared" si="102"/>
        <v>#REF!</v>
      </c>
      <c r="O445" s="406" t="e">
        <f>'07'!#REF!</f>
        <v>#REF!</v>
      </c>
      <c r="P445" s="406" t="e">
        <f t="shared" si="103"/>
        <v>#REF!</v>
      </c>
    </row>
    <row r="446" spans="1:16" ht="24.75" customHeight="1" hidden="1">
      <c r="A446" s="428" t="s">
        <v>145</v>
      </c>
      <c r="B446" s="429" t="s">
        <v>144</v>
      </c>
      <c r="C446" s="404">
        <f t="shared" si="106"/>
        <v>1936348</v>
      </c>
      <c r="D446" s="404">
        <f t="shared" si="107"/>
        <v>0</v>
      </c>
      <c r="E446" s="406">
        <v>0</v>
      </c>
      <c r="F446" s="406">
        <v>0</v>
      </c>
      <c r="G446" s="406">
        <v>0</v>
      </c>
      <c r="H446" s="406">
        <v>0</v>
      </c>
      <c r="I446" s="406">
        <v>0</v>
      </c>
      <c r="J446" s="406">
        <v>0</v>
      </c>
      <c r="K446" s="406">
        <v>0</v>
      </c>
      <c r="L446" s="406">
        <v>1936348</v>
      </c>
      <c r="M446" s="406" t="e">
        <f>'03'!#REF!+'04'!#REF!</f>
        <v>#REF!</v>
      </c>
      <c r="N446" s="406" t="e">
        <f t="shared" si="102"/>
        <v>#REF!</v>
      </c>
      <c r="O446" s="406" t="e">
        <f>'07'!#REF!</f>
        <v>#REF!</v>
      </c>
      <c r="P446" s="406" t="e">
        <f t="shared" si="103"/>
        <v>#REF!</v>
      </c>
    </row>
    <row r="447" spans="1:16" ht="24.75" customHeight="1" hidden="1">
      <c r="A447" s="428" t="s">
        <v>147</v>
      </c>
      <c r="B447" s="429" t="s">
        <v>146</v>
      </c>
      <c r="C447" s="404">
        <f t="shared" si="106"/>
        <v>0</v>
      </c>
      <c r="D447" s="404">
        <f t="shared" si="107"/>
        <v>0</v>
      </c>
      <c r="E447" s="406">
        <v>0</v>
      </c>
      <c r="F447" s="406">
        <v>0</v>
      </c>
      <c r="G447" s="406">
        <v>0</v>
      </c>
      <c r="H447" s="406">
        <v>0</v>
      </c>
      <c r="I447" s="406">
        <v>0</v>
      </c>
      <c r="J447" s="406">
        <v>0</v>
      </c>
      <c r="K447" s="406">
        <v>0</v>
      </c>
      <c r="L447" s="406">
        <v>0</v>
      </c>
      <c r="M447" s="406" t="e">
        <f>'03'!#REF!+'04'!#REF!</f>
        <v>#REF!</v>
      </c>
      <c r="N447" s="406" t="e">
        <f t="shared" si="102"/>
        <v>#REF!</v>
      </c>
      <c r="O447" s="406" t="e">
        <f>'07'!#REF!</f>
        <v>#REF!</v>
      </c>
      <c r="P447" s="406" t="e">
        <f t="shared" si="103"/>
        <v>#REF!</v>
      </c>
    </row>
    <row r="448" spans="1:16" ht="24.75" customHeight="1" hidden="1">
      <c r="A448" s="428" t="s">
        <v>149</v>
      </c>
      <c r="B448" s="431" t="s">
        <v>148</v>
      </c>
      <c r="C448" s="404">
        <f t="shared" si="106"/>
        <v>0</v>
      </c>
      <c r="D448" s="404">
        <f t="shared" si="107"/>
        <v>0</v>
      </c>
      <c r="E448" s="406">
        <v>0</v>
      </c>
      <c r="F448" s="406">
        <v>0</v>
      </c>
      <c r="G448" s="406">
        <v>0</v>
      </c>
      <c r="H448" s="406">
        <v>0</v>
      </c>
      <c r="I448" s="406">
        <v>0</v>
      </c>
      <c r="J448" s="406">
        <v>0</v>
      </c>
      <c r="K448" s="406">
        <v>0</v>
      </c>
      <c r="L448" s="406">
        <v>0</v>
      </c>
      <c r="M448" s="406" t="e">
        <f>'03'!#REF!+'04'!#REF!</f>
        <v>#REF!</v>
      </c>
      <c r="N448" s="406" t="e">
        <f t="shared" si="102"/>
        <v>#REF!</v>
      </c>
      <c r="O448" s="406" t="e">
        <f>'07'!#REF!</f>
        <v>#REF!</v>
      </c>
      <c r="P448" s="406" t="e">
        <f t="shared" si="103"/>
        <v>#REF!</v>
      </c>
    </row>
    <row r="449" spans="1:16" ht="24.75" customHeight="1" hidden="1">
      <c r="A449" s="428" t="s">
        <v>186</v>
      </c>
      <c r="B449" s="429" t="s">
        <v>150</v>
      </c>
      <c r="C449" s="404">
        <f t="shared" si="106"/>
        <v>2537365</v>
      </c>
      <c r="D449" s="404">
        <f t="shared" si="107"/>
        <v>0</v>
      </c>
      <c r="E449" s="406">
        <v>0</v>
      </c>
      <c r="F449" s="406">
        <v>0</v>
      </c>
      <c r="G449" s="406">
        <v>0</v>
      </c>
      <c r="H449" s="406">
        <v>0</v>
      </c>
      <c r="I449" s="406">
        <v>0</v>
      </c>
      <c r="J449" s="406">
        <v>0</v>
      </c>
      <c r="K449" s="406">
        <v>0</v>
      </c>
      <c r="L449" s="406">
        <v>2537365</v>
      </c>
      <c r="M449" s="406" t="e">
        <f>'03'!#REF!+'04'!#REF!</f>
        <v>#REF!</v>
      </c>
      <c r="N449" s="406" t="e">
        <f t="shared" si="102"/>
        <v>#REF!</v>
      </c>
      <c r="O449" s="406" t="e">
        <f>'07'!#REF!</f>
        <v>#REF!</v>
      </c>
      <c r="P449" s="406" t="e">
        <f t="shared" si="103"/>
        <v>#REF!</v>
      </c>
    </row>
    <row r="450" spans="1:16" ht="24.75" customHeight="1" hidden="1">
      <c r="A450" s="394" t="s">
        <v>53</v>
      </c>
      <c r="B450" s="395" t="s">
        <v>151</v>
      </c>
      <c r="C450" s="404">
        <f t="shared" si="106"/>
        <v>339107</v>
      </c>
      <c r="D450" s="404">
        <f t="shared" si="107"/>
        <v>339107</v>
      </c>
      <c r="E450" s="406">
        <v>205656</v>
      </c>
      <c r="F450" s="406">
        <v>0</v>
      </c>
      <c r="G450" s="406">
        <v>110640</v>
      </c>
      <c r="H450" s="406">
        <v>1500</v>
      </c>
      <c r="I450" s="406">
        <v>21311</v>
      </c>
      <c r="J450" s="406">
        <v>0</v>
      </c>
      <c r="K450" s="406">
        <v>0</v>
      </c>
      <c r="L450" s="406">
        <v>0</v>
      </c>
      <c r="M450" s="404" t="e">
        <f>'03'!#REF!+'04'!#REF!</f>
        <v>#REF!</v>
      </c>
      <c r="N450" s="404" t="e">
        <f t="shared" si="102"/>
        <v>#REF!</v>
      </c>
      <c r="O450" s="404" t="e">
        <f>'07'!#REF!</f>
        <v>#REF!</v>
      </c>
      <c r="P450" s="404" t="e">
        <f t="shared" si="103"/>
        <v>#REF!</v>
      </c>
    </row>
    <row r="451" spans="1:16" ht="24.75" customHeight="1" hidden="1">
      <c r="A451" s="453" t="s">
        <v>76</v>
      </c>
      <c r="B451" s="478" t="s">
        <v>215</v>
      </c>
      <c r="C451" s="462">
        <f>(C442+C443+C444)/C441</f>
        <v>0.0189064706244979</v>
      </c>
      <c r="D451" s="396">
        <f aca="true" t="shared" si="108" ref="D451:L451">(D442+D443+D444)/D441</f>
        <v>0.4959655134298663</v>
      </c>
      <c r="E451" s="412">
        <f t="shared" si="108"/>
        <v>0.1712004522009468</v>
      </c>
      <c r="F451" s="412" t="e">
        <f t="shared" si="108"/>
        <v>#DIV/0!</v>
      </c>
      <c r="G451" s="412">
        <f t="shared" si="108"/>
        <v>0</v>
      </c>
      <c r="H451" s="412">
        <f t="shared" si="108"/>
        <v>0.7864077669902912</v>
      </c>
      <c r="I451" s="412" t="e">
        <f t="shared" si="108"/>
        <v>#DIV/0!</v>
      </c>
      <c r="J451" s="412">
        <f t="shared" si="108"/>
        <v>1</v>
      </c>
      <c r="K451" s="412" t="e">
        <f t="shared" si="108"/>
        <v>#DIV/0!</v>
      </c>
      <c r="L451" s="412">
        <f t="shared" si="108"/>
        <v>0.008550711916150077</v>
      </c>
      <c r="M451" s="422"/>
      <c r="N451" s="479"/>
      <c r="O451" s="479"/>
      <c r="P451" s="479"/>
    </row>
    <row r="452" spans="1:16" ht="17.25" hidden="1">
      <c r="A452" s="1537" t="s">
        <v>498</v>
      </c>
      <c r="B452" s="1537"/>
      <c r="C452" s="406">
        <f>C435-C438-C439-C440</f>
        <v>0</v>
      </c>
      <c r="D452" s="406">
        <f aca="true" t="shared" si="109" ref="D452:L452">D435-D438-D439-D440</f>
        <v>0</v>
      </c>
      <c r="E452" s="406">
        <f t="shared" si="109"/>
        <v>0</v>
      </c>
      <c r="F452" s="406">
        <f t="shared" si="109"/>
        <v>0</v>
      </c>
      <c r="G452" s="406">
        <f t="shared" si="109"/>
        <v>0</v>
      </c>
      <c r="H452" s="406">
        <f t="shared" si="109"/>
        <v>0</v>
      </c>
      <c r="I452" s="406">
        <f t="shared" si="109"/>
        <v>0</v>
      </c>
      <c r="J452" s="406">
        <f t="shared" si="109"/>
        <v>0</v>
      </c>
      <c r="K452" s="406">
        <f t="shared" si="109"/>
        <v>0</v>
      </c>
      <c r="L452" s="406">
        <f t="shared" si="109"/>
        <v>0</v>
      </c>
      <c r="M452" s="422"/>
      <c r="N452" s="479"/>
      <c r="O452" s="479"/>
      <c r="P452" s="479"/>
    </row>
    <row r="453" spans="1:16" ht="17.25" hidden="1">
      <c r="A453" s="1538" t="s">
        <v>499</v>
      </c>
      <c r="B453" s="1538"/>
      <c r="C453" s="406">
        <f>C440-C441-C450</f>
        <v>0</v>
      </c>
      <c r="D453" s="406">
        <f aca="true" t="shared" si="110" ref="D453:L453">D440-D441-D450</f>
        <v>0</v>
      </c>
      <c r="E453" s="406">
        <f t="shared" si="110"/>
        <v>0</v>
      </c>
      <c r="F453" s="406">
        <f t="shared" si="110"/>
        <v>0</v>
      </c>
      <c r="G453" s="406">
        <f t="shared" si="110"/>
        <v>0</v>
      </c>
      <c r="H453" s="406">
        <f t="shared" si="110"/>
        <v>0</v>
      </c>
      <c r="I453" s="406">
        <f t="shared" si="110"/>
        <v>0</v>
      </c>
      <c r="J453" s="406">
        <f t="shared" si="110"/>
        <v>0</v>
      </c>
      <c r="K453" s="406">
        <f t="shared" si="110"/>
        <v>0</v>
      </c>
      <c r="L453" s="406">
        <f t="shared" si="110"/>
        <v>0</v>
      </c>
      <c r="M453" s="422"/>
      <c r="N453" s="479"/>
      <c r="O453" s="479"/>
      <c r="P453" s="479"/>
    </row>
    <row r="454" spans="1:16" ht="18.75" hidden="1">
      <c r="A454" s="464"/>
      <c r="B454" s="480" t="s">
        <v>518</v>
      </c>
      <c r="C454" s="480"/>
      <c r="D454" s="454"/>
      <c r="E454" s="454"/>
      <c r="F454" s="454"/>
      <c r="G454" s="1564" t="s">
        <v>518</v>
      </c>
      <c r="H454" s="1564"/>
      <c r="I454" s="1564"/>
      <c r="J454" s="1564"/>
      <c r="K454" s="1564"/>
      <c r="L454" s="1564"/>
      <c r="M454" s="467"/>
      <c r="N454" s="467"/>
      <c r="O454" s="467"/>
      <c r="P454" s="467"/>
    </row>
    <row r="455" spans="1:16" ht="18.75" hidden="1">
      <c r="A455" s="1565" t="s">
        <v>4</v>
      </c>
      <c r="B455" s="1565"/>
      <c r="C455" s="1565"/>
      <c r="D455" s="1565"/>
      <c r="E455" s="454"/>
      <c r="F455" s="454"/>
      <c r="G455" s="481"/>
      <c r="H455" s="1566" t="s">
        <v>519</v>
      </c>
      <c r="I455" s="1566"/>
      <c r="J455" s="1566"/>
      <c r="K455" s="1566"/>
      <c r="L455" s="1566"/>
      <c r="M455" s="467"/>
      <c r="N455" s="467"/>
      <c r="O455" s="467"/>
      <c r="P455" s="467"/>
    </row>
    <row r="456" ht="15" hidden="1"/>
    <row r="457" ht="15" hidden="1"/>
    <row r="458" ht="15" hidden="1"/>
    <row r="459" ht="15" hidden="1"/>
    <row r="460" ht="15" hidden="1"/>
    <row r="461" ht="15" hidden="1"/>
    <row r="462" ht="15" hidden="1"/>
    <row r="463" ht="15" hidden="1"/>
    <row r="464" ht="15" hidden="1"/>
    <row r="465" ht="15" hidden="1"/>
    <row r="466" ht="15" hidden="1"/>
    <row r="467" spans="1:13" ht="16.5" hidden="1">
      <c r="A467" s="1549" t="s">
        <v>33</v>
      </c>
      <c r="B467" s="1550"/>
      <c r="C467" s="463"/>
      <c r="D467" s="1526" t="s">
        <v>79</v>
      </c>
      <c r="E467" s="1526"/>
      <c r="F467" s="1526"/>
      <c r="G467" s="1526"/>
      <c r="H467" s="1526"/>
      <c r="I467" s="1526"/>
      <c r="J467" s="1526"/>
      <c r="K467" s="1551"/>
      <c r="L467" s="1551"/>
      <c r="M467" s="467"/>
    </row>
    <row r="468" spans="1:13" ht="16.5" hidden="1">
      <c r="A468" s="1517" t="s">
        <v>342</v>
      </c>
      <c r="B468" s="1517"/>
      <c r="C468" s="1517"/>
      <c r="D468" s="1526" t="s">
        <v>216</v>
      </c>
      <c r="E468" s="1526"/>
      <c r="F468" s="1526"/>
      <c r="G468" s="1526"/>
      <c r="H468" s="1526"/>
      <c r="I468" s="1526"/>
      <c r="J468" s="1526"/>
      <c r="K468" s="1563" t="s">
        <v>515</v>
      </c>
      <c r="L468" s="1563"/>
      <c r="M468" s="464"/>
    </row>
    <row r="469" spans="1:13" ht="16.5" hidden="1">
      <c r="A469" s="1517" t="s">
        <v>343</v>
      </c>
      <c r="B469" s="1517"/>
      <c r="C469" s="413"/>
      <c r="D469" s="1530" t="s">
        <v>11</v>
      </c>
      <c r="E469" s="1530"/>
      <c r="F469" s="1530"/>
      <c r="G469" s="1530"/>
      <c r="H469" s="1530"/>
      <c r="I469" s="1530"/>
      <c r="J469" s="1530"/>
      <c r="K469" s="1551"/>
      <c r="L469" s="1551"/>
      <c r="M469" s="467"/>
    </row>
    <row r="470" spans="1:13" ht="15.75" hidden="1">
      <c r="A470" s="433" t="s">
        <v>119</v>
      </c>
      <c r="B470" s="433"/>
      <c r="C470" s="418"/>
      <c r="D470" s="468"/>
      <c r="E470" s="468"/>
      <c r="F470" s="469"/>
      <c r="G470" s="469"/>
      <c r="H470" s="469"/>
      <c r="I470" s="469"/>
      <c r="J470" s="469"/>
      <c r="K470" s="1567"/>
      <c r="L470" s="1567"/>
      <c r="M470" s="464"/>
    </row>
    <row r="471" spans="1:13" ht="15.75" hidden="1">
      <c r="A471" s="468"/>
      <c r="B471" s="468" t="s">
        <v>94</v>
      </c>
      <c r="C471" s="468"/>
      <c r="D471" s="468"/>
      <c r="E471" s="468"/>
      <c r="F471" s="468"/>
      <c r="G471" s="468"/>
      <c r="H471" s="468"/>
      <c r="I471" s="468"/>
      <c r="J471" s="468"/>
      <c r="K471" s="1552"/>
      <c r="L471" s="1552"/>
      <c r="M471" s="464"/>
    </row>
    <row r="472" spans="1:13" ht="15.75" hidden="1">
      <c r="A472" s="1245" t="s">
        <v>71</v>
      </c>
      <c r="B472" s="1246"/>
      <c r="C472" s="1531" t="s">
        <v>38</v>
      </c>
      <c r="D472" s="1553" t="s">
        <v>339</v>
      </c>
      <c r="E472" s="1553"/>
      <c r="F472" s="1553"/>
      <c r="G472" s="1553"/>
      <c r="H472" s="1553"/>
      <c r="I472" s="1553"/>
      <c r="J472" s="1553"/>
      <c r="K472" s="1553"/>
      <c r="L472" s="1553"/>
      <c r="M472" s="467"/>
    </row>
    <row r="473" spans="1:13" ht="15.75" hidden="1">
      <c r="A473" s="1247"/>
      <c r="B473" s="1248"/>
      <c r="C473" s="1531"/>
      <c r="D473" s="1568" t="s">
        <v>207</v>
      </c>
      <c r="E473" s="1569"/>
      <c r="F473" s="1569"/>
      <c r="G473" s="1569"/>
      <c r="H473" s="1569"/>
      <c r="I473" s="1569"/>
      <c r="J473" s="1570"/>
      <c r="K473" s="1571" t="s">
        <v>208</v>
      </c>
      <c r="L473" s="1571" t="s">
        <v>209</v>
      </c>
      <c r="M473" s="464"/>
    </row>
    <row r="474" spans="1:13" ht="15.75" hidden="1">
      <c r="A474" s="1247"/>
      <c r="B474" s="1248"/>
      <c r="C474" s="1531"/>
      <c r="D474" s="1576" t="s">
        <v>37</v>
      </c>
      <c r="E474" s="1577" t="s">
        <v>7</v>
      </c>
      <c r="F474" s="1578"/>
      <c r="G474" s="1578"/>
      <c r="H474" s="1578"/>
      <c r="I474" s="1578"/>
      <c r="J474" s="1579"/>
      <c r="K474" s="1572"/>
      <c r="L474" s="1574"/>
      <c r="M474" s="464"/>
    </row>
    <row r="475" spans="1:16" ht="15.75" hidden="1">
      <c r="A475" s="1535"/>
      <c r="B475" s="1536"/>
      <c r="C475" s="1531"/>
      <c r="D475" s="1576"/>
      <c r="E475" s="470" t="s">
        <v>210</v>
      </c>
      <c r="F475" s="470" t="s">
        <v>211</v>
      </c>
      <c r="G475" s="470" t="s">
        <v>212</v>
      </c>
      <c r="H475" s="470" t="s">
        <v>213</v>
      </c>
      <c r="I475" s="470" t="s">
        <v>344</v>
      </c>
      <c r="J475" s="470" t="s">
        <v>214</v>
      </c>
      <c r="K475" s="1573"/>
      <c r="L475" s="1575"/>
      <c r="M475" s="1529" t="s">
        <v>500</v>
      </c>
      <c r="N475" s="1529"/>
      <c r="O475" s="1529"/>
      <c r="P475" s="1529"/>
    </row>
    <row r="476" spans="1:16" ht="15" hidden="1">
      <c r="A476" s="1533" t="s">
        <v>6</v>
      </c>
      <c r="B476" s="1534"/>
      <c r="C476" s="471">
        <v>1</v>
      </c>
      <c r="D476" s="472">
        <v>2</v>
      </c>
      <c r="E476" s="471">
        <v>3</v>
      </c>
      <c r="F476" s="472">
        <v>4</v>
      </c>
      <c r="G476" s="471">
        <v>5</v>
      </c>
      <c r="H476" s="472">
        <v>6</v>
      </c>
      <c r="I476" s="471">
        <v>7</v>
      </c>
      <c r="J476" s="472">
        <v>8</v>
      </c>
      <c r="K476" s="471">
        <v>9</v>
      </c>
      <c r="L476" s="472">
        <v>10</v>
      </c>
      <c r="M476" s="473" t="s">
        <v>501</v>
      </c>
      <c r="N476" s="474" t="s">
        <v>504</v>
      </c>
      <c r="O476" s="474" t="s">
        <v>502</v>
      </c>
      <c r="P476" s="474" t="s">
        <v>503</v>
      </c>
    </row>
    <row r="477" spans="1:16" ht="24.75" customHeight="1" hidden="1">
      <c r="A477" s="425" t="s">
        <v>0</v>
      </c>
      <c r="B477" s="426" t="s">
        <v>131</v>
      </c>
      <c r="C477" s="404">
        <f>C478+C479</f>
        <v>922525</v>
      </c>
      <c r="D477" s="404">
        <f aca="true" t="shared" si="111" ref="D477:L477">D478+D479</f>
        <v>186914</v>
      </c>
      <c r="E477" s="404">
        <f t="shared" si="111"/>
        <v>67241</v>
      </c>
      <c r="F477" s="404">
        <f t="shared" si="111"/>
        <v>0</v>
      </c>
      <c r="G477" s="404">
        <f t="shared" si="111"/>
        <v>33200</v>
      </c>
      <c r="H477" s="404">
        <f t="shared" si="111"/>
        <v>8506</v>
      </c>
      <c r="I477" s="404">
        <f t="shared" si="111"/>
        <v>63550</v>
      </c>
      <c r="J477" s="404">
        <f t="shared" si="111"/>
        <v>14417</v>
      </c>
      <c r="K477" s="404">
        <f t="shared" si="111"/>
        <v>28000</v>
      </c>
      <c r="L477" s="404">
        <f t="shared" si="111"/>
        <v>707611</v>
      </c>
      <c r="M477" s="404" t="e">
        <f>'03'!#REF!+'04'!#REF!</f>
        <v>#REF!</v>
      </c>
      <c r="N477" s="404" t="e">
        <f>C477-M477</f>
        <v>#REF!</v>
      </c>
      <c r="O477" s="404" t="e">
        <f>'07'!#REF!</f>
        <v>#REF!</v>
      </c>
      <c r="P477" s="404" t="e">
        <f>C477-O477</f>
        <v>#REF!</v>
      </c>
    </row>
    <row r="478" spans="1:16" ht="24.75" customHeight="1" hidden="1">
      <c r="A478" s="428">
        <v>1</v>
      </c>
      <c r="B478" s="429" t="s">
        <v>132</v>
      </c>
      <c r="C478" s="404">
        <f>D478+K478+L478</f>
        <v>642794</v>
      </c>
      <c r="D478" s="404">
        <f>E478+F478+G478+H478+I478+J478</f>
        <v>146594</v>
      </c>
      <c r="E478" s="406">
        <v>52394</v>
      </c>
      <c r="F478" s="406"/>
      <c r="G478" s="406">
        <v>33200</v>
      </c>
      <c r="H478" s="406"/>
      <c r="I478" s="406">
        <v>61000</v>
      </c>
      <c r="J478" s="406"/>
      <c r="K478" s="406"/>
      <c r="L478" s="406">
        <v>496200</v>
      </c>
      <c r="M478" s="406" t="e">
        <f>'03'!#REF!+'04'!#REF!</f>
        <v>#REF!</v>
      </c>
      <c r="N478" s="406" t="e">
        <f aca="true" t="shared" si="112" ref="N478:N492">C478-M478</f>
        <v>#REF!</v>
      </c>
      <c r="O478" s="406" t="e">
        <f>'07'!#REF!</f>
        <v>#REF!</v>
      </c>
      <c r="P478" s="406" t="e">
        <f aca="true" t="shared" si="113" ref="P478:P492">C478-O478</f>
        <v>#REF!</v>
      </c>
    </row>
    <row r="479" spans="1:16" ht="24.75" customHeight="1" hidden="1">
      <c r="A479" s="428">
        <v>2</v>
      </c>
      <c r="B479" s="429" t="s">
        <v>133</v>
      </c>
      <c r="C479" s="404">
        <f>D479+K479+L479</f>
        <v>279731</v>
      </c>
      <c r="D479" s="404">
        <f>E479+F479+G479+H479+I479+J479</f>
        <v>40320</v>
      </c>
      <c r="E479" s="406">
        <v>14847</v>
      </c>
      <c r="F479" s="406"/>
      <c r="G479" s="406"/>
      <c r="H479" s="406">
        <v>8506</v>
      </c>
      <c r="I479" s="406">
        <v>2550</v>
      </c>
      <c r="J479" s="406">
        <v>14417</v>
      </c>
      <c r="K479" s="406">
        <v>28000</v>
      </c>
      <c r="L479" s="406">
        <v>211411</v>
      </c>
      <c r="M479" s="406" t="e">
        <f>'03'!#REF!+'04'!#REF!</f>
        <v>#REF!</v>
      </c>
      <c r="N479" s="406" t="e">
        <f t="shared" si="112"/>
        <v>#REF!</v>
      </c>
      <c r="O479" s="406" t="e">
        <f>'07'!#REF!</f>
        <v>#REF!</v>
      </c>
      <c r="P479" s="406" t="e">
        <f t="shared" si="113"/>
        <v>#REF!</v>
      </c>
    </row>
    <row r="480" spans="1:16" ht="24.75" customHeight="1" hidden="1">
      <c r="A480" s="394" t="s">
        <v>1</v>
      </c>
      <c r="B480" s="395" t="s">
        <v>134</v>
      </c>
      <c r="C480" s="404">
        <f>D480+K480+L480</f>
        <v>950</v>
      </c>
      <c r="D480" s="404">
        <f>E480+F480+G480+H480+I480+J480</f>
        <v>950</v>
      </c>
      <c r="E480" s="406">
        <v>650</v>
      </c>
      <c r="F480" s="406"/>
      <c r="G480" s="406"/>
      <c r="H480" s="406"/>
      <c r="I480" s="406">
        <v>300</v>
      </c>
      <c r="J480" s="406"/>
      <c r="K480" s="406"/>
      <c r="L480" s="406"/>
      <c r="M480" s="406" t="e">
        <f>'03'!#REF!+'04'!#REF!</f>
        <v>#REF!</v>
      </c>
      <c r="N480" s="406" t="e">
        <f t="shared" si="112"/>
        <v>#REF!</v>
      </c>
      <c r="O480" s="406" t="e">
        <f>'07'!#REF!</f>
        <v>#REF!</v>
      </c>
      <c r="P480" s="406" t="e">
        <f t="shared" si="113"/>
        <v>#REF!</v>
      </c>
    </row>
    <row r="481" spans="1:16" ht="24.75" customHeight="1" hidden="1">
      <c r="A481" s="394" t="s">
        <v>9</v>
      </c>
      <c r="B481" s="395" t="s">
        <v>135</v>
      </c>
      <c r="C481" s="404">
        <f>D481+K481+L481</f>
        <v>0</v>
      </c>
      <c r="D481" s="404">
        <f>E481+F481+G481+H481+I481+J481</f>
        <v>0</v>
      </c>
      <c r="E481" s="406"/>
      <c r="F481" s="406"/>
      <c r="G481" s="406"/>
      <c r="H481" s="406"/>
      <c r="I481" s="406"/>
      <c r="J481" s="406"/>
      <c r="K481" s="406"/>
      <c r="L481" s="406"/>
      <c r="M481" s="406" t="e">
        <f>'03'!#REF!+'04'!#REF!</f>
        <v>#REF!</v>
      </c>
      <c r="N481" s="406" t="e">
        <f t="shared" si="112"/>
        <v>#REF!</v>
      </c>
      <c r="O481" s="406" t="e">
        <f>'07'!#REF!</f>
        <v>#REF!</v>
      </c>
      <c r="P481" s="406" t="e">
        <f t="shared" si="113"/>
        <v>#REF!</v>
      </c>
    </row>
    <row r="482" spans="1:16" ht="24.75" customHeight="1" hidden="1">
      <c r="A482" s="394" t="s">
        <v>136</v>
      </c>
      <c r="B482" s="395" t="s">
        <v>137</v>
      </c>
      <c r="C482" s="404">
        <f>C483+C492</f>
        <v>921575</v>
      </c>
      <c r="D482" s="404">
        <f aca="true" t="shared" si="114" ref="D482:L482">D483+D492</f>
        <v>185964</v>
      </c>
      <c r="E482" s="404">
        <f t="shared" si="114"/>
        <v>66591</v>
      </c>
      <c r="F482" s="404">
        <f t="shared" si="114"/>
        <v>0</v>
      </c>
      <c r="G482" s="404">
        <f t="shared" si="114"/>
        <v>33200</v>
      </c>
      <c r="H482" s="404">
        <f t="shared" si="114"/>
        <v>8506</v>
      </c>
      <c r="I482" s="404">
        <f t="shared" si="114"/>
        <v>63250</v>
      </c>
      <c r="J482" s="404">
        <f t="shared" si="114"/>
        <v>14417</v>
      </c>
      <c r="K482" s="404">
        <f t="shared" si="114"/>
        <v>28000</v>
      </c>
      <c r="L482" s="404">
        <f t="shared" si="114"/>
        <v>707611</v>
      </c>
      <c r="M482" s="404" t="e">
        <f>'03'!#REF!+'04'!#REF!</f>
        <v>#REF!</v>
      </c>
      <c r="N482" s="404" t="e">
        <f t="shared" si="112"/>
        <v>#REF!</v>
      </c>
      <c r="O482" s="404" t="e">
        <f>'07'!#REF!</f>
        <v>#REF!</v>
      </c>
      <c r="P482" s="404" t="e">
        <f t="shared" si="113"/>
        <v>#REF!</v>
      </c>
    </row>
    <row r="483" spans="1:16" ht="24.75" customHeight="1" hidden="1">
      <c r="A483" s="394" t="s">
        <v>52</v>
      </c>
      <c r="B483" s="430" t="s">
        <v>138</v>
      </c>
      <c r="C483" s="404">
        <f>SUM(C484:C491)</f>
        <v>798931</v>
      </c>
      <c r="D483" s="404">
        <f aca="true" t="shared" si="115" ref="D483:L483">SUM(D484:D491)</f>
        <v>63320</v>
      </c>
      <c r="E483" s="404">
        <f t="shared" si="115"/>
        <v>40397</v>
      </c>
      <c r="F483" s="404">
        <f t="shared" si="115"/>
        <v>0</v>
      </c>
      <c r="G483" s="404">
        <f t="shared" si="115"/>
        <v>0</v>
      </c>
      <c r="H483" s="404">
        <f t="shared" si="115"/>
        <v>8506</v>
      </c>
      <c r="I483" s="404">
        <f t="shared" si="115"/>
        <v>0</v>
      </c>
      <c r="J483" s="404">
        <f t="shared" si="115"/>
        <v>14417</v>
      </c>
      <c r="K483" s="404">
        <f t="shared" si="115"/>
        <v>28000</v>
      </c>
      <c r="L483" s="404">
        <f t="shared" si="115"/>
        <v>707611</v>
      </c>
      <c r="M483" s="404" t="e">
        <f>'03'!#REF!+'04'!#REF!</f>
        <v>#REF!</v>
      </c>
      <c r="N483" s="404" t="e">
        <f t="shared" si="112"/>
        <v>#REF!</v>
      </c>
      <c r="O483" s="404" t="e">
        <f>'07'!#REF!</f>
        <v>#REF!</v>
      </c>
      <c r="P483" s="404" t="e">
        <f t="shared" si="113"/>
        <v>#REF!</v>
      </c>
    </row>
    <row r="484" spans="1:16" ht="24.75" customHeight="1" hidden="1">
      <c r="A484" s="428" t="s">
        <v>54</v>
      </c>
      <c r="B484" s="429" t="s">
        <v>139</v>
      </c>
      <c r="C484" s="404">
        <f aca="true" t="shared" si="116" ref="C484:C492">D484+K484+L484</f>
        <v>98600</v>
      </c>
      <c r="D484" s="404">
        <f aca="true" t="shared" si="117" ref="D484:D492">E484+F484+G484+H484+I484+J484</f>
        <v>34320</v>
      </c>
      <c r="E484" s="406">
        <v>11397</v>
      </c>
      <c r="F484" s="406"/>
      <c r="G484" s="406"/>
      <c r="H484" s="406">
        <v>8506</v>
      </c>
      <c r="I484" s="406"/>
      <c r="J484" s="406">
        <v>14417</v>
      </c>
      <c r="K484" s="406">
        <v>28000</v>
      </c>
      <c r="L484" s="406">
        <v>36280</v>
      </c>
      <c r="M484" s="406" t="e">
        <f>'03'!#REF!+'04'!#REF!</f>
        <v>#REF!</v>
      </c>
      <c r="N484" s="406" t="e">
        <f t="shared" si="112"/>
        <v>#REF!</v>
      </c>
      <c r="O484" s="406" t="e">
        <f>'07'!#REF!</f>
        <v>#REF!</v>
      </c>
      <c r="P484" s="406" t="e">
        <f t="shared" si="113"/>
        <v>#REF!</v>
      </c>
    </row>
    <row r="485" spans="1:16" ht="24.75" customHeight="1" hidden="1">
      <c r="A485" s="428" t="s">
        <v>55</v>
      </c>
      <c r="B485" s="429" t="s">
        <v>140</v>
      </c>
      <c r="C485" s="404">
        <f t="shared" si="116"/>
        <v>0</v>
      </c>
      <c r="D485" s="404">
        <f t="shared" si="117"/>
        <v>0</v>
      </c>
      <c r="E485" s="406"/>
      <c r="F485" s="406"/>
      <c r="G485" s="406"/>
      <c r="H485" s="406"/>
      <c r="I485" s="406"/>
      <c r="J485" s="406"/>
      <c r="K485" s="406"/>
      <c r="L485" s="406"/>
      <c r="M485" s="406" t="e">
        <f>'03'!#REF!+'04'!#REF!</f>
        <v>#REF!</v>
      </c>
      <c r="N485" s="406" t="e">
        <f t="shared" si="112"/>
        <v>#REF!</v>
      </c>
      <c r="O485" s="406" t="e">
        <f>'07'!#REF!</f>
        <v>#REF!</v>
      </c>
      <c r="P485" s="406" t="e">
        <f t="shared" si="113"/>
        <v>#REF!</v>
      </c>
    </row>
    <row r="486" spans="1:16" ht="24.75" customHeight="1" hidden="1">
      <c r="A486" s="428" t="s">
        <v>141</v>
      </c>
      <c r="B486" s="429" t="s">
        <v>202</v>
      </c>
      <c r="C486" s="404">
        <f t="shared" si="116"/>
        <v>0</v>
      </c>
      <c r="D486" s="404">
        <f t="shared" si="117"/>
        <v>0</v>
      </c>
      <c r="E486" s="406"/>
      <c r="F486" s="406"/>
      <c r="G486" s="406"/>
      <c r="H486" s="406"/>
      <c r="I486" s="406"/>
      <c r="J486" s="406"/>
      <c r="K486" s="406"/>
      <c r="L486" s="406"/>
      <c r="M486" s="406" t="e">
        <f>'03'!#REF!</f>
        <v>#REF!</v>
      </c>
      <c r="N486" s="406" t="e">
        <f t="shared" si="112"/>
        <v>#REF!</v>
      </c>
      <c r="O486" s="406" t="e">
        <f>'07'!#REF!</f>
        <v>#REF!</v>
      </c>
      <c r="P486" s="406" t="e">
        <f t="shared" si="113"/>
        <v>#REF!</v>
      </c>
    </row>
    <row r="487" spans="1:16" ht="24.75" customHeight="1" hidden="1">
      <c r="A487" s="428" t="s">
        <v>143</v>
      </c>
      <c r="B487" s="429" t="s">
        <v>142</v>
      </c>
      <c r="C487" s="404">
        <f t="shared" si="116"/>
        <v>236331</v>
      </c>
      <c r="D487" s="404">
        <f t="shared" si="117"/>
        <v>29000</v>
      </c>
      <c r="E487" s="406">
        <v>29000</v>
      </c>
      <c r="F487" s="406"/>
      <c r="G487" s="406"/>
      <c r="H487" s="406"/>
      <c r="I487" s="406"/>
      <c r="J487" s="406"/>
      <c r="K487" s="406"/>
      <c r="L487" s="406">
        <v>207331</v>
      </c>
      <c r="M487" s="406" t="e">
        <f>'03'!#REF!+'04'!#REF!</f>
        <v>#REF!</v>
      </c>
      <c r="N487" s="406" t="e">
        <f t="shared" si="112"/>
        <v>#REF!</v>
      </c>
      <c r="O487" s="406" t="e">
        <f>'07'!#REF!</f>
        <v>#REF!</v>
      </c>
      <c r="P487" s="406" t="e">
        <f t="shared" si="113"/>
        <v>#REF!</v>
      </c>
    </row>
    <row r="488" spans="1:16" ht="24.75" customHeight="1" hidden="1">
      <c r="A488" s="428" t="s">
        <v>145</v>
      </c>
      <c r="B488" s="429" t="s">
        <v>144</v>
      </c>
      <c r="C488" s="404">
        <f t="shared" si="116"/>
        <v>464000</v>
      </c>
      <c r="D488" s="404">
        <f t="shared" si="117"/>
        <v>0</v>
      </c>
      <c r="E488" s="406"/>
      <c r="F488" s="406"/>
      <c r="G488" s="406"/>
      <c r="H488" s="406"/>
      <c r="I488" s="406"/>
      <c r="J488" s="406"/>
      <c r="K488" s="406"/>
      <c r="L488" s="406">
        <v>464000</v>
      </c>
      <c r="M488" s="406" t="e">
        <f>'03'!#REF!+'04'!#REF!</f>
        <v>#REF!</v>
      </c>
      <c r="N488" s="406" t="e">
        <f t="shared" si="112"/>
        <v>#REF!</v>
      </c>
      <c r="O488" s="406" t="e">
        <f>'07'!#REF!</f>
        <v>#REF!</v>
      </c>
      <c r="P488" s="406" t="e">
        <f t="shared" si="113"/>
        <v>#REF!</v>
      </c>
    </row>
    <row r="489" spans="1:16" ht="24.75" customHeight="1" hidden="1">
      <c r="A489" s="428" t="s">
        <v>147</v>
      </c>
      <c r="B489" s="429" t="s">
        <v>146</v>
      </c>
      <c r="C489" s="404">
        <f t="shared" si="116"/>
        <v>0</v>
      </c>
      <c r="D489" s="404">
        <f t="shared" si="117"/>
        <v>0</v>
      </c>
      <c r="E489" s="406"/>
      <c r="F489" s="406"/>
      <c r="G489" s="406"/>
      <c r="H489" s="406"/>
      <c r="I489" s="406"/>
      <c r="J489" s="406"/>
      <c r="K489" s="406"/>
      <c r="L489" s="406"/>
      <c r="M489" s="406" t="e">
        <f>'03'!#REF!+'04'!#REF!</f>
        <v>#REF!</v>
      </c>
      <c r="N489" s="406" t="e">
        <f t="shared" si="112"/>
        <v>#REF!</v>
      </c>
      <c r="O489" s="406" t="e">
        <f>'07'!#REF!</f>
        <v>#REF!</v>
      </c>
      <c r="P489" s="406" t="e">
        <f t="shared" si="113"/>
        <v>#REF!</v>
      </c>
    </row>
    <row r="490" spans="1:16" ht="24.75" customHeight="1" hidden="1">
      <c r="A490" s="428" t="s">
        <v>149</v>
      </c>
      <c r="B490" s="431" t="s">
        <v>148</v>
      </c>
      <c r="C490" s="404">
        <f t="shared" si="116"/>
        <v>0</v>
      </c>
      <c r="D490" s="404">
        <f t="shared" si="117"/>
        <v>0</v>
      </c>
      <c r="E490" s="406"/>
      <c r="F490" s="406"/>
      <c r="G490" s="406"/>
      <c r="H490" s="406"/>
      <c r="I490" s="406"/>
      <c r="J490" s="406"/>
      <c r="K490" s="406"/>
      <c r="L490" s="406"/>
      <c r="M490" s="406" t="e">
        <f>'03'!#REF!+'04'!#REF!</f>
        <v>#REF!</v>
      </c>
      <c r="N490" s="406" t="e">
        <f t="shared" si="112"/>
        <v>#REF!</v>
      </c>
      <c r="O490" s="406" t="e">
        <f>'07'!#REF!</f>
        <v>#REF!</v>
      </c>
      <c r="P490" s="406" t="e">
        <f t="shared" si="113"/>
        <v>#REF!</v>
      </c>
    </row>
    <row r="491" spans="1:16" ht="24.75" customHeight="1" hidden="1">
      <c r="A491" s="428" t="s">
        <v>186</v>
      </c>
      <c r="B491" s="429" t="s">
        <v>150</v>
      </c>
      <c r="C491" s="404">
        <f t="shared" si="116"/>
        <v>0</v>
      </c>
      <c r="D491" s="404">
        <f t="shared" si="117"/>
        <v>0</v>
      </c>
      <c r="E491" s="406"/>
      <c r="F491" s="406"/>
      <c r="G491" s="406"/>
      <c r="H491" s="406"/>
      <c r="I491" s="406"/>
      <c r="J491" s="406"/>
      <c r="K491" s="406"/>
      <c r="L491" s="406"/>
      <c r="M491" s="406" t="e">
        <f>'03'!#REF!+'04'!#REF!</f>
        <v>#REF!</v>
      </c>
      <c r="N491" s="406" t="e">
        <f t="shared" si="112"/>
        <v>#REF!</v>
      </c>
      <c r="O491" s="406" t="e">
        <f>'07'!#REF!</f>
        <v>#REF!</v>
      </c>
      <c r="P491" s="406" t="e">
        <f t="shared" si="113"/>
        <v>#REF!</v>
      </c>
    </row>
    <row r="492" spans="1:16" ht="24.75" customHeight="1" hidden="1">
      <c r="A492" s="394" t="s">
        <v>53</v>
      </c>
      <c r="B492" s="395" t="s">
        <v>151</v>
      </c>
      <c r="C492" s="404">
        <f t="shared" si="116"/>
        <v>122644</v>
      </c>
      <c r="D492" s="404">
        <f t="shared" si="117"/>
        <v>122644</v>
      </c>
      <c r="E492" s="406">
        <v>26194</v>
      </c>
      <c r="F492" s="406"/>
      <c r="G492" s="406">
        <v>33200</v>
      </c>
      <c r="H492" s="406"/>
      <c r="I492" s="406">
        <v>63250</v>
      </c>
      <c r="J492" s="406"/>
      <c r="K492" s="406"/>
      <c r="L492" s="406"/>
      <c r="M492" s="404" t="e">
        <f>'03'!#REF!+'04'!#REF!</f>
        <v>#REF!</v>
      </c>
      <c r="N492" s="404" t="e">
        <f t="shared" si="112"/>
        <v>#REF!</v>
      </c>
      <c r="O492" s="404" t="e">
        <f>'07'!#REF!</f>
        <v>#REF!</v>
      </c>
      <c r="P492" s="404" t="e">
        <f t="shared" si="113"/>
        <v>#REF!</v>
      </c>
    </row>
    <row r="493" spans="1:16" ht="24.75" customHeight="1" hidden="1">
      <c r="A493" s="453" t="s">
        <v>76</v>
      </c>
      <c r="B493" s="478" t="s">
        <v>215</v>
      </c>
      <c r="C493" s="462">
        <f>(C484+C485+C486)/C483</f>
        <v>0.12341491317773375</v>
      </c>
      <c r="D493" s="396">
        <f aca="true" t="shared" si="118" ref="D493:L493">(D484+D485+D486)/D483</f>
        <v>0.542008843967151</v>
      </c>
      <c r="E493" s="412">
        <f t="shared" si="118"/>
        <v>0.28212491026561376</v>
      </c>
      <c r="F493" s="412" t="e">
        <f t="shared" si="118"/>
        <v>#DIV/0!</v>
      </c>
      <c r="G493" s="412" t="e">
        <f t="shared" si="118"/>
        <v>#DIV/0!</v>
      </c>
      <c r="H493" s="412">
        <f t="shared" si="118"/>
        <v>1</v>
      </c>
      <c r="I493" s="412" t="e">
        <f t="shared" si="118"/>
        <v>#DIV/0!</v>
      </c>
      <c r="J493" s="412">
        <f t="shared" si="118"/>
        <v>1</v>
      </c>
      <c r="K493" s="412">
        <f t="shared" si="118"/>
        <v>1</v>
      </c>
      <c r="L493" s="412">
        <f t="shared" si="118"/>
        <v>0.05127110799577734</v>
      </c>
      <c r="M493" s="422"/>
      <c r="N493" s="479"/>
      <c r="O493" s="479"/>
      <c r="P493" s="479"/>
    </row>
    <row r="494" spans="1:16" ht="17.25" hidden="1">
      <c r="A494" s="1537" t="s">
        <v>498</v>
      </c>
      <c r="B494" s="1537"/>
      <c r="C494" s="406">
        <f>C477-C480-C481-C482</f>
        <v>0</v>
      </c>
      <c r="D494" s="406">
        <f aca="true" t="shared" si="119" ref="D494:L494">D477-D480-D481-D482</f>
        <v>0</v>
      </c>
      <c r="E494" s="406">
        <f t="shared" si="119"/>
        <v>0</v>
      </c>
      <c r="F494" s="406">
        <f t="shared" si="119"/>
        <v>0</v>
      </c>
      <c r="G494" s="406">
        <f t="shared" si="119"/>
        <v>0</v>
      </c>
      <c r="H494" s="406">
        <f t="shared" si="119"/>
        <v>0</v>
      </c>
      <c r="I494" s="406">
        <f t="shared" si="119"/>
        <v>0</v>
      </c>
      <c r="J494" s="406">
        <f t="shared" si="119"/>
        <v>0</v>
      </c>
      <c r="K494" s="406">
        <f t="shared" si="119"/>
        <v>0</v>
      </c>
      <c r="L494" s="406">
        <f t="shared" si="119"/>
        <v>0</v>
      </c>
      <c r="M494" s="422"/>
      <c r="N494" s="479"/>
      <c r="O494" s="479"/>
      <c r="P494" s="479"/>
    </row>
    <row r="495" spans="1:16" ht="17.25" hidden="1">
      <c r="A495" s="1538" t="s">
        <v>499</v>
      </c>
      <c r="B495" s="1538"/>
      <c r="C495" s="406">
        <f>C482-C483-C492</f>
        <v>0</v>
      </c>
      <c r="D495" s="406">
        <f aca="true" t="shared" si="120" ref="D495:L495">D482-D483-D492</f>
        <v>0</v>
      </c>
      <c r="E495" s="406">
        <f t="shared" si="120"/>
        <v>0</v>
      </c>
      <c r="F495" s="406">
        <f t="shared" si="120"/>
        <v>0</v>
      </c>
      <c r="G495" s="406">
        <f t="shared" si="120"/>
        <v>0</v>
      </c>
      <c r="H495" s="406">
        <f t="shared" si="120"/>
        <v>0</v>
      </c>
      <c r="I495" s="406">
        <f t="shared" si="120"/>
        <v>0</v>
      </c>
      <c r="J495" s="406">
        <f t="shared" si="120"/>
        <v>0</v>
      </c>
      <c r="K495" s="406">
        <f t="shared" si="120"/>
        <v>0</v>
      </c>
      <c r="L495" s="406">
        <f t="shared" si="120"/>
        <v>0</v>
      </c>
      <c r="M495" s="422"/>
      <c r="N495" s="479"/>
      <c r="O495" s="479"/>
      <c r="P495" s="479"/>
    </row>
    <row r="496" spans="1:16" ht="18.75" hidden="1">
      <c r="A496" s="464"/>
      <c r="B496" s="480" t="s">
        <v>518</v>
      </c>
      <c r="C496" s="480"/>
      <c r="D496" s="454"/>
      <c r="E496" s="454"/>
      <c r="F496" s="454"/>
      <c r="G496" s="1564" t="s">
        <v>518</v>
      </c>
      <c r="H496" s="1564"/>
      <c r="I496" s="1564"/>
      <c r="J496" s="1564"/>
      <c r="K496" s="1564"/>
      <c r="L496" s="1564"/>
      <c r="M496" s="467"/>
      <c r="N496" s="467"/>
      <c r="O496" s="467"/>
      <c r="P496" s="467"/>
    </row>
    <row r="497" spans="1:16" ht="18.75" hidden="1">
      <c r="A497" s="1565" t="s">
        <v>4</v>
      </c>
      <c r="B497" s="1565"/>
      <c r="C497" s="1565"/>
      <c r="D497" s="1565"/>
      <c r="E497" s="454"/>
      <c r="F497" s="454"/>
      <c r="G497" s="481"/>
      <c r="H497" s="1566" t="s">
        <v>519</v>
      </c>
      <c r="I497" s="1566"/>
      <c r="J497" s="1566"/>
      <c r="K497" s="1566"/>
      <c r="L497" s="1566"/>
      <c r="M497" s="467"/>
      <c r="N497" s="467"/>
      <c r="O497" s="467"/>
      <c r="P497" s="467"/>
    </row>
    <row r="498" ht="15" hidden="1"/>
    <row r="499" ht="15" hidden="1"/>
    <row r="500" ht="15" hidden="1"/>
    <row r="501" ht="15" hidden="1"/>
    <row r="502" ht="15" hidden="1"/>
    <row r="503" ht="15" hidden="1"/>
    <row r="504" ht="15" hidden="1"/>
    <row r="505" ht="15" hidden="1"/>
    <row r="506" ht="15" hidden="1"/>
    <row r="507" ht="15" hidden="1"/>
    <row r="508" ht="15" hidden="1"/>
    <row r="509" ht="15" hidden="1"/>
    <row r="510" spans="1:13" ht="16.5" hidden="1">
      <c r="A510" s="1549" t="s">
        <v>33</v>
      </c>
      <c r="B510" s="1550"/>
      <c r="C510" s="463"/>
      <c r="D510" s="1526" t="s">
        <v>79</v>
      </c>
      <c r="E510" s="1526"/>
      <c r="F510" s="1526"/>
      <c r="G510" s="1526"/>
      <c r="H510" s="1526"/>
      <c r="I510" s="1526"/>
      <c r="J510" s="1526"/>
      <c r="K510" s="1551"/>
      <c r="L510" s="1551"/>
      <c r="M510" s="467"/>
    </row>
    <row r="511" spans="1:13" ht="16.5" hidden="1">
      <c r="A511" s="1517" t="s">
        <v>342</v>
      </c>
      <c r="B511" s="1517"/>
      <c r="C511" s="1517"/>
      <c r="D511" s="1526" t="s">
        <v>216</v>
      </c>
      <c r="E511" s="1526"/>
      <c r="F511" s="1526"/>
      <c r="G511" s="1526"/>
      <c r="H511" s="1526"/>
      <c r="I511" s="1526"/>
      <c r="J511" s="1526"/>
      <c r="K511" s="1563" t="s">
        <v>516</v>
      </c>
      <c r="L511" s="1563"/>
      <c r="M511" s="464"/>
    </row>
    <row r="512" spans="1:13" ht="16.5" hidden="1">
      <c r="A512" s="1517" t="s">
        <v>343</v>
      </c>
      <c r="B512" s="1517"/>
      <c r="C512" s="413"/>
      <c r="D512" s="1530" t="s">
        <v>552</v>
      </c>
      <c r="E512" s="1530"/>
      <c r="F512" s="1530"/>
      <c r="G512" s="1530"/>
      <c r="H512" s="1530"/>
      <c r="I512" s="1530"/>
      <c r="J512" s="1530"/>
      <c r="K512" s="1551"/>
      <c r="L512" s="1551"/>
      <c r="M512" s="467"/>
    </row>
    <row r="513" spans="1:13" ht="15.75" hidden="1">
      <c r="A513" s="433" t="s">
        <v>119</v>
      </c>
      <c r="B513" s="433"/>
      <c r="C513" s="418"/>
      <c r="D513" s="468"/>
      <c r="E513" s="468"/>
      <c r="F513" s="469"/>
      <c r="G513" s="469"/>
      <c r="H513" s="469"/>
      <c r="I513" s="469"/>
      <c r="J513" s="469"/>
      <c r="K513" s="1567"/>
      <c r="L513" s="1567"/>
      <c r="M513" s="464"/>
    </row>
    <row r="514" spans="1:13" ht="15.75" hidden="1">
      <c r="A514" s="468"/>
      <c r="B514" s="468" t="s">
        <v>94</v>
      </c>
      <c r="C514" s="468"/>
      <c r="D514" s="468"/>
      <c r="E514" s="468"/>
      <c r="F514" s="468"/>
      <c r="G514" s="468"/>
      <c r="H514" s="468"/>
      <c r="I514" s="468"/>
      <c r="J514" s="468"/>
      <c r="K514" s="1552"/>
      <c r="L514" s="1552"/>
      <c r="M514" s="464"/>
    </row>
    <row r="515" spans="1:13" ht="15.75" hidden="1">
      <c r="A515" s="1245" t="s">
        <v>71</v>
      </c>
      <c r="B515" s="1246"/>
      <c r="C515" s="1531" t="s">
        <v>38</v>
      </c>
      <c r="D515" s="1553" t="s">
        <v>339</v>
      </c>
      <c r="E515" s="1553"/>
      <c r="F515" s="1553"/>
      <c r="G515" s="1553"/>
      <c r="H515" s="1553"/>
      <c r="I515" s="1553"/>
      <c r="J515" s="1553"/>
      <c r="K515" s="1553"/>
      <c r="L515" s="1553"/>
      <c r="M515" s="467"/>
    </row>
    <row r="516" spans="1:13" ht="15.75" hidden="1">
      <c r="A516" s="1247"/>
      <c r="B516" s="1248"/>
      <c r="C516" s="1531"/>
      <c r="D516" s="1568" t="s">
        <v>207</v>
      </c>
      <c r="E516" s="1569"/>
      <c r="F516" s="1569"/>
      <c r="G516" s="1569"/>
      <c r="H516" s="1569"/>
      <c r="I516" s="1569"/>
      <c r="J516" s="1570"/>
      <c r="K516" s="1571" t="s">
        <v>208</v>
      </c>
      <c r="L516" s="1571" t="s">
        <v>209</v>
      </c>
      <c r="M516" s="464"/>
    </row>
    <row r="517" spans="1:13" ht="15.75" hidden="1">
      <c r="A517" s="1247"/>
      <c r="B517" s="1248"/>
      <c r="C517" s="1531"/>
      <c r="D517" s="1576" t="s">
        <v>37</v>
      </c>
      <c r="E517" s="1577" t="s">
        <v>7</v>
      </c>
      <c r="F517" s="1578"/>
      <c r="G517" s="1578"/>
      <c r="H517" s="1578"/>
      <c r="I517" s="1578"/>
      <c r="J517" s="1579"/>
      <c r="K517" s="1572"/>
      <c r="L517" s="1574"/>
      <c r="M517" s="464"/>
    </row>
    <row r="518" spans="1:16" ht="15.75" hidden="1">
      <c r="A518" s="1535"/>
      <c r="B518" s="1536"/>
      <c r="C518" s="1531"/>
      <c r="D518" s="1576"/>
      <c r="E518" s="470" t="s">
        <v>210</v>
      </c>
      <c r="F518" s="470" t="s">
        <v>211</v>
      </c>
      <c r="G518" s="470" t="s">
        <v>212</v>
      </c>
      <c r="H518" s="470" t="s">
        <v>213</v>
      </c>
      <c r="I518" s="470" t="s">
        <v>344</v>
      </c>
      <c r="J518" s="470" t="s">
        <v>214</v>
      </c>
      <c r="K518" s="1573"/>
      <c r="L518" s="1575"/>
      <c r="M518" s="1529" t="s">
        <v>500</v>
      </c>
      <c r="N518" s="1529"/>
      <c r="O518" s="1529"/>
      <c r="P518" s="1529"/>
    </row>
    <row r="519" spans="1:16" ht="15" hidden="1">
      <c r="A519" s="1533" t="s">
        <v>6</v>
      </c>
      <c r="B519" s="1534"/>
      <c r="C519" s="471">
        <v>1</v>
      </c>
      <c r="D519" s="472">
        <v>2</v>
      </c>
      <c r="E519" s="471">
        <v>3</v>
      </c>
      <c r="F519" s="472">
        <v>4</v>
      </c>
      <c r="G519" s="471">
        <v>5</v>
      </c>
      <c r="H519" s="472">
        <v>6</v>
      </c>
      <c r="I519" s="471">
        <v>7</v>
      </c>
      <c r="J519" s="472">
        <v>8</v>
      </c>
      <c r="K519" s="471">
        <v>9</v>
      </c>
      <c r="L519" s="472">
        <v>10</v>
      </c>
      <c r="M519" s="473" t="s">
        <v>501</v>
      </c>
      <c r="N519" s="474" t="s">
        <v>504</v>
      </c>
      <c r="O519" s="474" t="s">
        <v>502</v>
      </c>
      <c r="P519" s="474" t="s">
        <v>503</v>
      </c>
    </row>
    <row r="520" spans="1:16" ht="24.75" customHeight="1" hidden="1">
      <c r="A520" s="425" t="s">
        <v>0</v>
      </c>
      <c r="B520" s="426" t="s">
        <v>131</v>
      </c>
      <c r="C520" s="404">
        <f>C521+C522</f>
        <v>1489506</v>
      </c>
      <c r="D520" s="404">
        <f aca="true" t="shared" si="121" ref="D520:L520">D521+D522</f>
        <v>1316506</v>
      </c>
      <c r="E520" s="404">
        <f t="shared" si="121"/>
        <v>194963</v>
      </c>
      <c r="F520" s="404">
        <f t="shared" si="121"/>
        <v>0</v>
      </c>
      <c r="G520" s="404">
        <f t="shared" si="121"/>
        <v>98361</v>
      </c>
      <c r="H520" s="404">
        <f t="shared" si="121"/>
        <v>1018454</v>
      </c>
      <c r="I520" s="404">
        <f t="shared" si="121"/>
        <v>0</v>
      </c>
      <c r="J520" s="404">
        <f t="shared" si="121"/>
        <v>4728</v>
      </c>
      <c r="K520" s="404">
        <f t="shared" si="121"/>
        <v>0</v>
      </c>
      <c r="L520" s="404">
        <f t="shared" si="121"/>
        <v>173000</v>
      </c>
      <c r="M520" s="404" t="e">
        <f>'03'!#REF!+'04'!#REF!</f>
        <v>#REF!</v>
      </c>
      <c r="N520" s="404" t="e">
        <f>C520-M520</f>
        <v>#REF!</v>
      </c>
      <c r="O520" s="404" t="e">
        <f>'07'!#REF!</f>
        <v>#REF!</v>
      </c>
      <c r="P520" s="404" t="e">
        <f>C520-O520</f>
        <v>#REF!</v>
      </c>
    </row>
    <row r="521" spans="1:16" ht="24.75" customHeight="1" hidden="1">
      <c r="A521" s="428">
        <v>1</v>
      </c>
      <c r="B521" s="429" t="s">
        <v>132</v>
      </c>
      <c r="C521" s="404">
        <f>D521+K521+L521</f>
        <v>1046387</v>
      </c>
      <c r="D521" s="404">
        <f>E521+F521+G521+H521+I521+J521</f>
        <v>1046387</v>
      </c>
      <c r="E521" s="406">
        <v>35026</v>
      </c>
      <c r="F521" s="406"/>
      <c r="G521" s="406">
        <v>37361</v>
      </c>
      <c r="H521" s="406">
        <v>974000</v>
      </c>
      <c r="I521" s="406"/>
      <c r="J521" s="406"/>
      <c r="K521" s="406"/>
      <c r="L521" s="406"/>
      <c r="M521" s="406" t="e">
        <f>'03'!#REF!+'04'!#REF!</f>
        <v>#REF!</v>
      </c>
      <c r="N521" s="406" t="e">
        <f aca="true" t="shared" si="122" ref="N521:N535">C521-M521</f>
        <v>#REF!</v>
      </c>
      <c r="O521" s="406" t="e">
        <f>'07'!#REF!</f>
        <v>#REF!</v>
      </c>
      <c r="P521" s="406" t="e">
        <f aca="true" t="shared" si="123" ref="P521:P535">C521-O521</f>
        <v>#REF!</v>
      </c>
    </row>
    <row r="522" spans="1:16" ht="24.75" customHeight="1" hidden="1">
      <c r="A522" s="428">
        <v>2</v>
      </c>
      <c r="B522" s="429" t="s">
        <v>133</v>
      </c>
      <c r="C522" s="404">
        <f>D522+K522+L522</f>
        <v>443119</v>
      </c>
      <c r="D522" s="404">
        <f>E522+F522+G522+H522+I522+J522</f>
        <v>270119</v>
      </c>
      <c r="E522" s="406">
        <v>159937</v>
      </c>
      <c r="F522" s="406">
        <v>0</v>
      </c>
      <c r="G522" s="406">
        <v>61000</v>
      </c>
      <c r="H522" s="406">
        <v>44454</v>
      </c>
      <c r="I522" s="406">
        <v>0</v>
      </c>
      <c r="J522" s="406">
        <v>4728</v>
      </c>
      <c r="K522" s="406">
        <v>0</v>
      </c>
      <c r="L522" s="406">
        <v>173000</v>
      </c>
      <c r="M522" s="406" t="e">
        <f>'03'!#REF!+'04'!#REF!</f>
        <v>#REF!</v>
      </c>
      <c r="N522" s="406" t="e">
        <f t="shared" si="122"/>
        <v>#REF!</v>
      </c>
      <c r="O522" s="406" t="e">
        <f>'07'!#REF!</f>
        <v>#REF!</v>
      </c>
      <c r="P522" s="406" t="e">
        <f t="shared" si="123"/>
        <v>#REF!</v>
      </c>
    </row>
    <row r="523" spans="1:16" ht="24.75" customHeight="1" hidden="1">
      <c r="A523" s="394" t="s">
        <v>1</v>
      </c>
      <c r="B523" s="395" t="s">
        <v>134</v>
      </c>
      <c r="C523" s="404">
        <f>D523+K523+L523</f>
        <v>21400</v>
      </c>
      <c r="D523" s="404">
        <f>E523+F523+G523+H523+I523+J523</f>
        <v>21400</v>
      </c>
      <c r="E523" s="406">
        <v>1400</v>
      </c>
      <c r="F523" s="406">
        <v>0</v>
      </c>
      <c r="G523" s="406">
        <v>20000</v>
      </c>
      <c r="H523" s="406">
        <v>0</v>
      </c>
      <c r="I523" s="406">
        <v>0</v>
      </c>
      <c r="J523" s="406">
        <v>0</v>
      </c>
      <c r="K523" s="406">
        <v>0</v>
      </c>
      <c r="L523" s="406">
        <v>0</v>
      </c>
      <c r="M523" s="406" t="e">
        <f>'03'!#REF!+'04'!#REF!</f>
        <v>#REF!</v>
      </c>
      <c r="N523" s="406" t="e">
        <f t="shared" si="122"/>
        <v>#REF!</v>
      </c>
      <c r="O523" s="406" t="e">
        <f>'07'!#REF!</f>
        <v>#REF!</v>
      </c>
      <c r="P523" s="406" t="e">
        <f t="shared" si="123"/>
        <v>#REF!</v>
      </c>
    </row>
    <row r="524" spans="1:16" ht="24.75" customHeight="1" hidden="1">
      <c r="A524" s="394" t="s">
        <v>9</v>
      </c>
      <c r="B524" s="395" t="s">
        <v>135</v>
      </c>
      <c r="C524" s="404">
        <f>D524+K524+L524</f>
        <v>0</v>
      </c>
      <c r="D524" s="404">
        <f>E524+F524+G524+H524+I524+J524</f>
        <v>0</v>
      </c>
      <c r="E524" s="406">
        <v>0</v>
      </c>
      <c r="F524" s="406">
        <v>0</v>
      </c>
      <c r="G524" s="406">
        <v>0</v>
      </c>
      <c r="H524" s="406">
        <v>0</v>
      </c>
      <c r="I524" s="406">
        <v>0</v>
      </c>
      <c r="J524" s="406">
        <v>0</v>
      </c>
      <c r="K524" s="406">
        <v>0</v>
      </c>
      <c r="L524" s="406">
        <v>0</v>
      </c>
      <c r="M524" s="406" t="e">
        <f>'03'!#REF!+'04'!#REF!</f>
        <v>#REF!</v>
      </c>
      <c r="N524" s="406" t="e">
        <f t="shared" si="122"/>
        <v>#REF!</v>
      </c>
      <c r="O524" s="406" t="e">
        <f>'07'!#REF!</f>
        <v>#REF!</v>
      </c>
      <c r="P524" s="406" t="e">
        <f t="shared" si="123"/>
        <v>#REF!</v>
      </c>
    </row>
    <row r="525" spans="1:16" ht="24.75" customHeight="1" hidden="1">
      <c r="A525" s="394" t="s">
        <v>136</v>
      </c>
      <c r="B525" s="395" t="s">
        <v>137</v>
      </c>
      <c r="C525" s="404">
        <f>C526+C535</f>
        <v>1468106</v>
      </c>
      <c r="D525" s="404">
        <f aca="true" t="shared" si="124" ref="D525:L525">D526+D535</f>
        <v>1295106</v>
      </c>
      <c r="E525" s="404">
        <f t="shared" si="124"/>
        <v>193563</v>
      </c>
      <c r="F525" s="404">
        <f t="shared" si="124"/>
        <v>0</v>
      </c>
      <c r="G525" s="404">
        <f t="shared" si="124"/>
        <v>78361</v>
      </c>
      <c r="H525" s="404">
        <f t="shared" si="124"/>
        <v>1018454</v>
      </c>
      <c r="I525" s="404">
        <f t="shared" si="124"/>
        <v>0</v>
      </c>
      <c r="J525" s="404">
        <f t="shared" si="124"/>
        <v>4728</v>
      </c>
      <c r="K525" s="404">
        <f t="shared" si="124"/>
        <v>0</v>
      </c>
      <c r="L525" s="404">
        <f t="shared" si="124"/>
        <v>173000</v>
      </c>
      <c r="M525" s="404" t="e">
        <f>'03'!#REF!+'04'!#REF!</f>
        <v>#REF!</v>
      </c>
      <c r="N525" s="404" t="e">
        <f t="shared" si="122"/>
        <v>#REF!</v>
      </c>
      <c r="O525" s="404" t="e">
        <f>'07'!#REF!</f>
        <v>#REF!</v>
      </c>
      <c r="P525" s="404" t="e">
        <f t="shared" si="123"/>
        <v>#REF!</v>
      </c>
    </row>
    <row r="526" spans="1:16" ht="24.75" customHeight="1" hidden="1">
      <c r="A526" s="394" t="s">
        <v>52</v>
      </c>
      <c r="B526" s="430" t="s">
        <v>138</v>
      </c>
      <c r="C526" s="404">
        <f>SUM(C527:C534)</f>
        <v>421719</v>
      </c>
      <c r="D526" s="404">
        <f aca="true" t="shared" si="125" ref="D526:L526">SUM(D527:D534)</f>
        <v>248719</v>
      </c>
      <c r="E526" s="404">
        <f t="shared" si="125"/>
        <v>158537</v>
      </c>
      <c r="F526" s="404">
        <f t="shared" si="125"/>
        <v>0</v>
      </c>
      <c r="G526" s="404">
        <f t="shared" si="125"/>
        <v>41000</v>
      </c>
      <c r="H526" s="404">
        <f t="shared" si="125"/>
        <v>44454</v>
      </c>
      <c r="I526" s="404">
        <f t="shared" si="125"/>
        <v>0</v>
      </c>
      <c r="J526" s="404">
        <f t="shared" si="125"/>
        <v>4728</v>
      </c>
      <c r="K526" s="404">
        <f t="shared" si="125"/>
        <v>0</v>
      </c>
      <c r="L526" s="404">
        <f t="shared" si="125"/>
        <v>173000</v>
      </c>
      <c r="M526" s="404" t="e">
        <f>'03'!#REF!+'04'!#REF!</f>
        <v>#REF!</v>
      </c>
      <c r="N526" s="404" t="e">
        <f t="shared" si="122"/>
        <v>#REF!</v>
      </c>
      <c r="O526" s="404" t="e">
        <f>'07'!#REF!</f>
        <v>#REF!</v>
      </c>
      <c r="P526" s="404" t="e">
        <f t="shared" si="123"/>
        <v>#REF!</v>
      </c>
    </row>
    <row r="527" spans="1:16" ht="24.75" customHeight="1" hidden="1">
      <c r="A527" s="428" t="s">
        <v>54</v>
      </c>
      <c r="B527" s="429" t="s">
        <v>139</v>
      </c>
      <c r="C527" s="404">
        <f aca="true" t="shared" si="126" ref="C527:C535">D527+K527+L527</f>
        <v>57757</v>
      </c>
      <c r="D527" s="404">
        <f aca="true" t="shared" si="127" ref="D527:D535">E527+F527+G527+H527+I527+J527</f>
        <v>57757</v>
      </c>
      <c r="E527" s="406">
        <v>4875</v>
      </c>
      <c r="F527" s="406">
        <v>0</v>
      </c>
      <c r="G527" s="406">
        <v>6700</v>
      </c>
      <c r="H527" s="406">
        <v>41454</v>
      </c>
      <c r="I527" s="406">
        <v>0</v>
      </c>
      <c r="J527" s="406">
        <v>4728</v>
      </c>
      <c r="K527" s="406">
        <v>0</v>
      </c>
      <c r="L527" s="406">
        <v>0</v>
      </c>
      <c r="M527" s="406" t="e">
        <f>'03'!#REF!+'04'!#REF!</f>
        <v>#REF!</v>
      </c>
      <c r="N527" s="406" t="e">
        <f t="shared" si="122"/>
        <v>#REF!</v>
      </c>
      <c r="O527" s="406" t="e">
        <f>'07'!#REF!</f>
        <v>#REF!</v>
      </c>
      <c r="P527" s="406" t="e">
        <f t="shared" si="123"/>
        <v>#REF!</v>
      </c>
    </row>
    <row r="528" spans="1:16" ht="24.75" customHeight="1" hidden="1">
      <c r="A528" s="428" t="s">
        <v>55</v>
      </c>
      <c r="B528" s="429" t="s">
        <v>140</v>
      </c>
      <c r="C528" s="404">
        <f t="shared" si="126"/>
        <v>0</v>
      </c>
      <c r="D528" s="404">
        <f t="shared" si="127"/>
        <v>0</v>
      </c>
      <c r="E528" s="406">
        <v>0</v>
      </c>
      <c r="F528" s="406">
        <v>0</v>
      </c>
      <c r="G528" s="406">
        <v>0</v>
      </c>
      <c r="H528" s="406">
        <v>0</v>
      </c>
      <c r="I528" s="406">
        <v>0</v>
      </c>
      <c r="J528" s="406">
        <v>0</v>
      </c>
      <c r="K528" s="406">
        <v>0</v>
      </c>
      <c r="L528" s="406">
        <v>0</v>
      </c>
      <c r="M528" s="406" t="e">
        <f>'03'!#REF!+'04'!#REF!</f>
        <v>#REF!</v>
      </c>
      <c r="N528" s="406" t="e">
        <f t="shared" si="122"/>
        <v>#REF!</v>
      </c>
      <c r="O528" s="406" t="e">
        <f>'07'!#REF!</f>
        <v>#REF!</v>
      </c>
      <c r="P528" s="406" t="e">
        <f t="shared" si="123"/>
        <v>#REF!</v>
      </c>
    </row>
    <row r="529" spans="1:16" ht="24.75" customHeight="1" hidden="1">
      <c r="A529" s="428" t="s">
        <v>141</v>
      </c>
      <c r="B529" s="429" t="s">
        <v>202</v>
      </c>
      <c r="C529" s="404">
        <f t="shared" si="126"/>
        <v>0</v>
      </c>
      <c r="D529" s="404">
        <f t="shared" si="127"/>
        <v>0</v>
      </c>
      <c r="E529" s="406">
        <v>0</v>
      </c>
      <c r="F529" s="406">
        <v>0</v>
      </c>
      <c r="G529" s="406">
        <v>0</v>
      </c>
      <c r="H529" s="406">
        <v>0</v>
      </c>
      <c r="I529" s="406">
        <v>0</v>
      </c>
      <c r="J529" s="406">
        <v>0</v>
      </c>
      <c r="K529" s="406">
        <v>0</v>
      </c>
      <c r="L529" s="406">
        <v>0</v>
      </c>
      <c r="M529" s="406" t="e">
        <f>'03'!#REF!</f>
        <v>#REF!</v>
      </c>
      <c r="N529" s="406" t="e">
        <f t="shared" si="122"/>
        <v>#REF!</v>
      </c>
      <c r="O529" s="406" t="e">
        <f>'07'!#REF!</f>
        <v>#REF!</v>
      </c>
      <c r="P529" s="406" t="e">
        <f t="shared" si="123"/>
        <v>#REF!</v>
      </c>
    </row>
    <row r="530" spans="1:16" ht="24.75" customHeight="1" hidden="1">
      <c r="A530" s="428" t="s">
        <v>143</v>
      </c>
      <c r="B530" s="429" t="s">
        <v>142</v>
      </c>
      <c r="C530" s="404">
        <f t="shared" si="126"/>
        <v>213822</v>
      </c>
      <c r="D530" s="404">
        <f t="shared" si="127"/>
        <v>40822</v>
      </c>
      <c r="E530" s="406">
        <v>3522</v>
      </c>
      <c r="F530" s="406">
        <v>0</v>
      </c>
      <c r="G530" s="406">
        <v>34300</v>
      </c>
      <c r="H530" s="406">
        <v>3000</v>
      </c>
      <c r="I530" s="406">
        <v>0</v>
      </c>
      <c r="J530" s="406">
        <v>0</v>
      </c>
      <c r="K530" s="406">
        <v>0</v>
      </c>
      <c r="L530" s="406">
        <v>173000</v>
      </c>
      <c r="M530" s="406" t="e">
        <f>'03'!#REF!+'04'!#REF!</f>
        <v>#REF!</v>
      </c>
      <c r="N530" s="406" t="e">
        <f t="shared" si="122"/>
        <v>#REF!</v>
      </c>
      <c r="O530" s="406" t="e">
        <f>'07'!#REF!</f>
        <v>#REF!</v>
      </c>
      <c r="P530" s="406" t="e">
        <f t="shared" si="123"/>
        <v>#REF!</v>
      </c>
    </row>
    <row r="531" spans="1:16" ht="24.75" customHeight="1" hidden="1">
      <c r="A531" s="428" t="s">
        <v>145</v>
      </c>
      <c r="B531" s="429" t="s">
        <v>144</v>
      </c>
      <c r="C531" s="404">
        <f t="shared" si="126"/>
        <v>0</v>
      </c>
      <c r="D531" s="404">
        <f t="shared" si="127"/>
        <v>0</v>
      </c>
      <c r="E531" s="406">
        <v>0</v>
      </c>
      <c r="F531" s="406">
        <v>0</v>
      </c>
      <c r="G531" s="406">
        <v>0</v>
      </c>
      <c r="H531" s="406">
        <v>0</v>
      </c>
      <c r="I531" s="406">
        <v>0</v>
      </c>
      <c r="J531" s="406">
        <v>0</v>
      </c>
      <c r="K531" s="406">
        <v>0</v>
      </c>
      <c r="L531" s="406">
        <v>0</v>
      </c>
      <c r="M531" s="406" t="e">
        <f>'03'!#REF!+'04'!#REF!</f>
        <v>#REF!</v>
      </c>
      <c r="N531" s="406" t="e">
        <f t="shared" si="122"/>
        <v>#REF!</v>
      </c>
      <c r="O531" s="406" t="e">
        <f>'07'!#REF!</f>
        <v>#REF!</v>
      </c>
      <c r="P531" s="406" t="e">
        <f t="shared" si="123"/>
        <v>#REF!</v>
      </c>
    </row>
    <row r="532" spans="1:16" ht="24.75" customHeight="1" hidden="1">
      <c r="A532" s="428" t="s">
        <v>147</v>
      </c>
      <c r="B532" s="429" t="s">
        <v>146</v>
      </c>
      <c r="C532" s="404">
        <f t="shared" si="126"/>
        <v>150140</v>
      </c>
      <c r="D532" s="404">
        <f t="shared" si="127"/>
        <v>150140</v>
      </c>
      <c r="E532" s="406">
        <v>150140</v>
      </c>
      <c r="F532" s="406">
        <v>0</v>
      </c>
      <c r="G532" s="406">
        <v>0</v>
      </c>
      <c r="H532" s="406">
        <v>0</v>
      </c>
      <c r="I532" s="406">
        <v>0</v>
      </c>
      <c r="J532" s="406">
        <v>0</v>
      </c>
      <c r="K532" s="406">
        <v>0</v>
      </c>
      <c r="L532" s="406">
        <v>0</v>
      </c>
      <c r="M532" s="406" t="e">
        <f>'03'!#REF!+'04'!#REF!</f>
        <v>#REF!</v>
      </c>
      <c r="N532" s="406" t="e">
        <f t="shared" si="122"/>
        <v>#REF!</v>
      </c>
      <c r="O532" s="406" t="e">
        <f>'07'!#REF!</f>
        <v>#REF!</v>
      </c>
      <c r="P532" s="406" t="e">
        <f t="shared" si="123"/>
        <v>#REF!</v>
      </c>
    </row>
    <row r="533" spans="1:16" ht="24.75" customHeight="1" hidden="1">
      <c r="A533" s="428" t="s">
        <v>149</v>
      </c>
      <c r="B533" s="431" t="s">
        <v>148</v>
      </c>
      <c r="C533" s="404">
        <f t="shared" si="126"/>
        <v>0</v>
      </c>
      <c r="D533" s="404">
        <f t="shared" si="127"/>
        <v>0</v>
      </c>
      <c r="E533" s="406">
        <v>0</v>
      </c>
      <c r="F533" s="406">
        <v>0</v>
      </c>
      <c r="G533" s="406">
        <v>0</v>
      </c>
      <c r="H533" s="406">
        <v>0</v>
      </c>
      <c r="I533" s="406">
        <v>0</v>
      </c>
      <c r="J533" s="406">
        <v>0</v>
      </c>
      <c r="K533" s="406">
        <v>0</v>
      </c>
      <c r="L533" s="406">
        <v>0</v>
      </c>
      <c r="M533" s="406" t="e">
        <f>'03'!#REF!+'04'!#REF!</f>
        <v>#REF!</v>
      </c>
      <c r="N533" s="406" t="e">
        <f t="shared" si="122"/>
        <v>#REF!</v>
      </c>
      <c r="O533" s="406" t="e">
        <f>'07'!#REF!</f>
        <v>#REF!</v>
      </c>
      <c r="P533" s="406" t="e">
        <f t="shared" si="123"/>
        <v>#REF!</v>
      </c>
    </row>
    <row r="534" spans="1:16" ht="24.75" customHeight="1" hidden="1">
      <c r="A534" s="428" t="s">
        <v>186</v>
      </c>
      <c r="B534" s="429" t="s">
        <v>150</v>
      </c>
      <c r="C534" s="404">
        <f t="shared" si="126"/>
        <v>0</v>
      </c>
      <c r="D534" s="404">
        <f t="shared" si="127"/>
        <v>0</v>
      </c>
      <c r="E534" s="406">
        <v>0</v>
      </c>
      <c r="F534" s="406">
        <v>0</v>
      </c>
      <c r="G534" s="406">
        <v>0</v>
      </c>
      <c r="H534" s="406">
        <v>0</v>
      </c>
      <c r="I534" s="406">
        <v>0</v>
      </c>
      <c r="J534" s="406">
        <v>0</v>
      </c>
      <c r="K534" s="406">
        <v>0</v>
      </c>
      <c r="L534" s="406">
        <v>0</v>
      </c>
      <c r="M534" s="406" t="e">
        <f>'03'!#REF!+'04'!#REF!</f>
        <v>#REF!</v>
      </c>
      <c r="N534" s="406" t="e">
        <f t="shared" si="122"/>
        <v>#REF!</v>
      </c>
      <c r="O534" s="406" t="e">
        <f>'07'!#REF!</f>
        <v>#REF!</v>
      </c>
      <c r="P534" s="406" t="e">
        <f t="shared" si="123"/>
        <v>#REF!</v>
      </c>
    </row>
    <row r="535" spans="1:16" ht="24.75" customHeight="1" hidden="1">
      <c r="A535" s="394" t="s">
        <v>53</v>
      </c>
      <c r="B535" s="395" t="s">
        <v>151</v>
      </c>
      <c r="C535" s="404">
        <f t="shared" si="126"/>
        <v>1046387</v>
      </c>
      <c r="D535" s="404">
        <f t="shared" si="127"/>
        <v>1046387</v>
      </c>
      <c r="E535" s="406">
        <v>35026</v>
      </c>
      <c r="F535" s="406">
        <v>0</v>
      </c>
      <c r="G535" s="406">
        <v>37361</v>
      </c>
      <c r="H535" s="406">
        <v>974000</v>
      </c>
      <c r="I535" s="406">
        <v>0</v>
      </c>
      <c r="J535" s="406">
        <v>0</v>
      </c>
      <c r="K535" s="406">
        <v>0</v>
      </c>
      <c r="L535" s="406">
        <v>0</v>
      </c>
      <c r="M535" s="404" t="e">
        <f>'03'!#REF!+'04'!#REF!</f>
        <v>#REF!</v>
      </c>
      <c r="N535" s="404" t="e">
        <f t="shared" si="122"/>
        <v>#REF!</v>
      </c>
      <c r="O535" s="404" t="e">
        <f>'07'!#REF!</f>
        <v>#REF!</v>
      </c>
      <c r="P535" s="404" t="e">
        <f t="shared" si="123"/>
        <v>#REF!</v>
      </c>
    </row>
    <row r="536" spans="1:16" ht="24.75" customHeight="1" hidden="1">
      <c r="A536" s="453" t="s">
        <v>76</v>
      </c>
      <c r="B536" s="478" t="s">
        <v>215</v>
      </c>
      <c r="C536" s="462">
        <f>(C527+C528+C529)/C526</f>
        <v>0.13695612481296787</v>
      </c>
      <c r="D536" s="396">
        <f aca="true" t="shared" si="128" ref="D536:L536">(D527+D528+D529)/D526</f>
        <v>0.2322178844398699</v>
      </c>
      <c r="E536" s="412">
        <f t="shared" si="128"/>
        <v>0.030749919577133415</v>
      </c>
      <c r="F536" s="412" t="e">
        <f t="shared" si="128"/>
        <v>#DIV/0!</v>
      </c>
      <c r="G536" s="412">
        <f t="shared" si="128"/>
        <v>0.16341463414634147</v>
      </c>
      <c r="H536" s="412">
        <f t="shared" si="128"/>
        <v>0.9325145093804832</v>
      </c>
      <c r="I536" s="412" t="e">
        <f t="shared" si="128"/>
        <v>#DIV/0!</v>
      </c>
      <c r="J536" s="412">
        <f t="shared" si="128"/>
        <v>1</v>
      </c>
      <c r="K536" s="412" t="e">
        <f t="shared" si="128"/>
        <v>#DIV/0!</v>
      </c>
      <c r="L536" s="412">
        <f t="shared" si="128"/>
        <v>0</v>
      </c>
      <c r="M536" s="422"/>
      <c r="N536" s="479"/>
      <c r="O536" s="479"/>
      <c r="P536" s="479"/>
    </row>
    <row r="537" spans="1:16" ht="17.25" hidden="1">
      <c r="A537" s="1537" t="s">
        <v>498</v>
      </c>
      <c r="B537" s="1537"/>
      <c r="C537" s="406">
        <f>C520-C523-C524-C525</f>
        <v>0</v>
      </c>
      <c r="D537" s="406">
        <f aca="true" t="shared" si="129" ref="D537:L537">D520-D523-D524-D525</f>
        <v>0</v>
      </c>
      <c r="E537" s="406">
        <f t="shared" si="129"/>
        <v>0</v>
      </c>
      <c r="F537" s="406">
        <f t="shared" si="129"/>
        <v>0</v>
      </c>
      <c r="G537" s="406">
        <f t="shared" si="129"/>
        <v>0</v>
      </c>
      <c r="H537" s="406">
        <f t="shared" si="129"/>
        <v>0</v>
      </c>
      <c r="I537" s="406">
        <f t="shared" si="129"/>
        <v>0</v>
      </c>
      <c r="J537" s="406">
        <f t="shared" si="129"/>
        <v>0</v>
      </c>
      <c r="K537" s="406">
        <f t="shared" si="129"/>
        <v>0</v>
      </c>
      <c r="L537" s="406">
        <f t="shared" si="129"/>
        <v>0</v>
      </c>
      <c r="M537" s="422"/>
      <c r="N537" s="479"/>
      <c r="O537" s="479"/>
      <c r="P537" s="479"/>
    </row>
    <row r="538" spans="1:16" ht="17.25" hidden="1">
      <c r="A538" s="1538" t="s">
        <v>499</v>
      </c>
      <c r="B538" s="1538"/>
      <c r="C538" s="406">
        <f>C525-C526-C535</f>
        <v>0</v>
      </c>
      <c r="D538" s="406">
        <f aca="true" t="shared" si="130" ref="D538:L538">D525-D526-D535</f>
        <v>0</v>
      </c>
      <c r="E538" s="406">
        <f t="shared" si="130"/>
        <v>0</v>
      </c>
      <c r="F538" s="406">
        <f t="shared" si="130"/>
        <v>0</v>
      </c>
      <c r="G538" s="406">
        <f t="shared" si="130"/>
        <v>0</v>
      </c>
      <c r="H538" s="406">
        <f t="shared" si="130"/>
        <v>0</v>
      </c>
      <c r="I538" s="406">
        <f t="shared" si="130"/>
        <v>0</v>
      </c>
      <c r="J538" s="406">
        <f t="shared" si="130"/>
        <v>0</v>
      </c>
      <c r="K538" s="406">
        <f t="shared" si="130"/>
        <v>0</v>
      </c>
      <c r="L538" s="406">
        <f t="shared" si="130"/>
        <v>0</v>
      </c>
      <c r="M538" s="422"/>
      <c r="N538" s="479"/>
      <c r="O538" s="479"/>
      <c r="P538" s="479"/>
    </row>
    <row r="539" spans="1:16" ht="18.75" hidden="1">
      <c r="A539" s="464"/>
      <c r="B539" s="480" t="s">
        <v>518</v>
      </c>
      <c r="C539" s="480"/>
      <c r="D539" s="454"/>
      <c r="E539" s="454"/>
      <c r="F539" s="454"/>
      <c r="G539" s="1564" t="s">
        <v>518</v>
      </c>
      <c r="H539" s="1564"/>
      <c r="I539" s="1564"/>
      <c r="J539" s="1564"/>
      <c r="K539" s="1564"/>
      <c r="L539" s="1564"/>
      <c r="M539" s="467"/>
      <c r="N539" s="467"/>
      <c r="O539" s="467"/>
      <c r="P539" s="467"/>
    </row>
    <row r="540" spans="1:16" ht="18.75" hidden="1">
      <c r="A540" s="1565" t="s">
        <v>4</v>
      </c>
      <c r="B540" s="1565"/>
      <c r="C540" s="1565"/>
      <c r="D540" s="1565"/>
      <c r="E540" s="454"/>
      <c r="F540" s="454"/>
      <c r="G540" s="481"/>
      <c r="H540" s="1566" t="s">
        <v>519</v>
      </c>
      <c r="I540" s="1566"/>
      <c r="J540" s="1566"/>
      <c r="K540" s="1566"/>
      <c r="L540" s="1566"/>
      <c r="M540" s="467"/>
      <c r="N540" s="467"/>
      <c r="O540" s="467"/>
      <c r="P540" s="467"/>
    </row>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sheetData>
  <sheetProtection/>
  <mergeCells count="341">
    <mergeCell ref="N6:P6"/>
    <mergeCell ref="M518:P518"/>
    <mergeCell ref="A519:B519"/>
    <mergeCell ref="A537:B537"/>
    <mergeCell ref="K513:L513"/>
    <mergeCell ref="A512:B512"/>
    <mergeCell ref="C515:C518"/>
    <mergeCell ref="D517:D518"/>
    <mergeCell ref="K514:L514"/>
    <mergeCell ref="E517:J517"/>
    <mergeCell ref="G539:L539"/>
    <mergeCell ref="A540:D540"/>
    <mergeCell ref="H540:L540"/>
    <mergeCell ref="A538:B538"/>
    <mergeCell ref="D515:L515"/>
    <mergeCell ref="D516:J516"/>
    <mergeCell ref="K516:K518"/>
    <mergeCell ref="L516:L518"/>
    <mergeCell ref="A510:B510"/>
    <mergeCell ref="D510:J510"/>
    <mergeCell ref="K510:L510"/>
    <mergeCell ref="A511:C511"/>
    <mergeCell ref="D511:J511"/>
    <mergeCell ref="K511:L511"/>
    <mergeCell ref="D512:J512"/>
    <mergeCell ref="K512:L512"/>
    <mergeCell ref="A515:B518"/>
    <mergeCell ref="M475:P475"/>
    <mergeCell ref="A476:B476"/>
    <mergeCell ref="A494:B494"/>
    <mergeCell ref="A495:B495"/>
    <mergeCell ref="L473:L475"/>
    <mergeCell ref="D474:D475"/>
    <mergeCell ref="E474:J474"/>
    <mergeCell ref="G496:L496"/>
    <mergeCell ref="A497:D497"/>
    <mergeCell ref="H497:L497"/>
    <mergeCell ref="K470:L470"/>
    <mergeCell ref="K471:L471"/>
    <mergeCell ref="A472:B475"/>
    <mergeCell ref="C472:C475"/>
    <mergeCell ref="D472:L472"/>
    <mergeCell ref="D473:J473"/>
    <mergeCell ref="K473:K475"/>
    <mergeCell ref="A468:C468"/>
    <mergeCell ref="D468:J468"/>
    <mergeCell ref="K468:L468"/>
    <mergeCell ref="A469:B469"/>
    <mergeCell ref="D469:J469"/>
    <mergeCell ref="K469:L469"/>
    <mergeCell ref="A467:B467"/>
    <mergeCell ref="D467:J467"/>
    <mergeCell ref="K467:L467"/>
    <mergeCell ref="L431:L433"/>
    <mergeCell ref="D432:D433"/>
    <mergeCell ref="E432:J432"/>
    <mergeCell ref="A453:B453"/>
    <mergeCell ref="G454:L454"/>
    <mergeCell ref="A455:D455"/>
    <mergeCell ref="H455:L455"/>
    <mergeCell ref="M433:P433"/>
    <mergeCell ref="A434:B434"/>
    <mergeCell ref="A452:B452"/>
    <mergeCell ref="A427:B427"/>
    <mergeCell ref="D427:J427"/>
    <mergeCell ref="K427:L427"/>
    <mergeCell ref="K428:L428"/>
    <mergeCell ref="K429:L429"/>
    <mergeCell ref="A430:B433"/>
    <mergeCell ref="C430:C433"/>
    <mergeCell ref="D430:L430"/>
    <mergeCell ref="D431:J431"/>
    <mergeCell ref="K431:K433"/>
    <mergeCell ref="A425:B425"/>
    <mergeCell ref="D425:J425"/>
    <mergeCell ref="K425:L425"/>
    <mergeCell ref="A426:C426"/>
    <mergeCell ref="D426:J426"/>
    <mergeCell ref="K426:L426"/>
    <mergeCell ref="M386:P386"/>
    <mergeCell ref="A387:B387"/>
    <mergeCell ref="A405:B405"/>
    <mergeCell ref="A406:B406"/>
    <mergeCell ref="L384:L386"/>
    <mergeCell ref="D385:D386"/>
    <mergeCell ref="E385:J385"/>
    <mergeCell ref="G407:L407"/>
    <mergeCell ref="A408:D408"/>
    <mergeCell ref="H408:L408"/>
    <mergeCell ref="K381:L381"/>
    <mergeCell ref="A383:B386"/>
    <mergeCell ref="C383:C386"/>
    <mergeCell ref="D383:L383"/>
    <mergeCell ref="D384:J384"/>
    <mergeCell ref="K384:K386"/>
    <mergeCell ref="A379:C379"/>
    <mergeCell ref="D379:J379"/>
    <mergeCell ref="K379:L379"/>
    <mergeCell ref="A380:B380"/>
    <mergeCell ref="D380:J380"/>
    <mergeCell ref="K380:L380"/>
    <mergeCell ref="A378:B378"/>
    <mergeCell ref="D378:J378"/>
    <mergeCell ref="K378:L378"/>
    <mergeCell ref="L341:L343"/>
    <mergeCell ref="D342:D343"/>
    <mergeCell ref="E342:J342"/>
    <mergeCell ref="A363:B363"/>
    <mergeCell ref="G364:L364"/>
    <mergeCell ref="A365:D365"/>
    <mergeCell ref="H365:L365"/>
    <mergeCell ref="M343:P343"/>
    <mergeCell ref="A344:B344"/>
    <mergeCell ref="A362:B362"/>
    <mergeCell ref="A337:B337"/>
    <mergeCell ref="D337:J337"/>
    <mergeCell ref="K337:L337"/>
    <mergeCell ref="K338:L338"/>
    <mergeCell ref="K339:L339"/>
    <mergeCell ref="A340:B343"/>
    <mergeCell ref="C340:C343"/>
    <mergeCell ref="D340:L340"/>
    <mergeCell ref="D341:J341"/>
    <mergeCell ref="K341:K343"/>
    <mergeCell ref="A335:B335"/>
    <mergeCell ref="D335:J335"/>
    <mergeCell ref="K335:L335"/>
    <mergeCell ref="A336:C336"/>
    <mergeCell ref="D336:J336"/>
    <mergeCell ref="K336:L336"/>
    <mergeCell ref="M300:P300"/>
    <mergeCell ref="A301:B301"/>
    <mergeCell ref="A319:B319"/>
    <mergeCell ref="A320:B320"/>
    <mergeCell ref="L298:L300"/>
    <mergeCell ref="D299:D300"/>
    <mergeCell ref="E299:J299"/>
    <mergeCell ref="A322:D322"/>
    <mergeCell ref="H322:L322"/>
    <mergeCell ref="K295:L295"/>
    <mergeCell ref="K296:L296"/>
    <mergeCell ref="A297:B300"/>
    <mergeCell ref="C297:C300"/>
    <mergeCell ref="D297:L297"/>
    <mergeCell ref="D298:J298"/>
    <mergeCell ref="K298:K300"/>
    <mergeCell ref="G321:L321"/>
    <mergeCell ref="A292:B292"/>
    <mergeCell ref="D292:J292"/>
    <mergeCell ref="K292:L292"/>
    <mergeCell ref="A293:C293"/>
    <mergeCell ref="D293:J293"/>
    <mergeCell ref="K293:L293"/>
    <mergeCell ref="D257:D258"/>
    <mergeCell ref="E257:J257"/>
    <mergeCell ref="A294:B294"/>
    <mergeCell ref="D294:J294"/>
    <mergeCell ref="G279:L279"/>
    <mergeCell ref="A280:D280"/>
    <mergeCell ref="H280:L280"/>
    <mergeCell ref="A277:B277"/>
    <mergeCell ref="A278:B278"/>
    <mergeCell ref="K294:L294"/>
    <mergeCell ref="M258:P258"/>
    <mergeCell ref="A259:B259"/>
    <mergeCell ref="K252:L252"/>
    <mergeCell ref="K253:L253"/>
    <mergeCell ref="A255:B258"/>
    <mergeCell ref="C255:C258"/>
    <mergeCell ref="D255:L255"/>
    <mergeCell ref="D256:J256"/>
    <mergeCell ref="K256:K258"/>
    <mergeCell ref="L256:L258"/>
    <mergeCell ref="K250:L250"/>
    <mergeCell ref="A251:C251"/>
    <mergeCell ref="D251:J251"/>
    <mergeCell ref="K251:L251"/>
    <mergeCell ref="A252:B252"/>
    <mergeCell ref="D252:J252"/>
    <mergeCell ref="A250:B250"/>
    <mergeCell ref="D250:J250"/>
    <mergeCell ref="M219:P219"/>
    <mergeCell ref="A220:B220"/>
    <mergeCell ref="A238:B238"/>
    <mergeCell ref="A239:B239"/>
    <mergeCell ref="L217:L219"/>
    <mergeCell ref="D218:D219"/>
    <mergeCell ref="E218:J218"/>
    <mergeCell ref="G240:L240"/>
    <mergeCell ref="A241:D241"/>
    <mergeCell ref="H241:L241"/>
    <mergeCell ref="K214:L214"/>
    <mergeCell ref="K215:L215"/>
    <mergeCell ref="A216:B219"/>
    <mergeCell ref="C216:C219"/>
    <mergeCell ref="D216:L216"/>
    <mergeCell ref="D217:J217"/>
    <mergeCell ref="K217:K219"/>
    <mergeCell ref="A212:C212"/>
    <mergeCell ref="D212:J212"/>
    <mergeCell ref="K212:L212"/>
    <mergeCell ref="A213:B213"/>
    <mergeCell ref="D213:J213"/>
    <mergeCell ref="K213:L213"/>
    <mergeCell ref="A211:B211"/>
    <mergeCell ref="D211:J211"/>
    <mergeCell ref="K211:L211"/>
    <mergeCell ref="L177:L179"/>
    <mergeCell ref="D178:D179"/>
    <mergeCell ref="E178:J178"/>
    <mergeCell ref="A199:B199"/>
    <mergeCell ref="G200:L200"/>
    <mergeCell ref="A201:D201"/>
    <mergeCell ref="H201:L201"/>
    <mergeCell ref="M179:P179"/>
    <mergeCell ref="A180:B180"/>
    <mergeCell ref="A198:B198"/>
    <mergeCell ref="A173:B173"/>
    <mergeCell ref="D173:J173"/>
    <mergeCell ref="K173:L173"/>
    <mergeCell ref="K175:L175"/>
    <mergeCell ref="A176:B179"/>
    <mergeCell ref="C176:C179"/>
    <mergeCell ref="D176:L176"/>
    <mergeCell ref="D177:J177"/>
    <mergeCell ref="K177:K179"/>
    <mergeCell ref="A171:B171"/>
    <mergeCell ref="D171:J171"/>
    <mergeCell ref="K171:L171"/>
    <mergeCell ref="A172:C172"/>
    <mergeCell ref="D172:J172"/>
    <mergeCell ref="K172:L172"/>
    <mergeCell ref="M138:P138"/>
    <mergeCell ref="A139:B139"/>
    <mergeCell ref="A157:B157"/>
    <mergeCell ref="A158:B158"/>
    <mergeCell ref="L136:L138"/>
    <mergeCell ref="D137:D138"/>
    <mergeCell ref="E137:J137"/>
    <mergeCell ref="G159:L159"/>
    <mergeCell ref="A160:D160"/>
    <mergeCell ref="H160:L160"/>
    <mergeCell ref="K133:L133"/>
    <mergeCell ref="K134:L134"/>
    <mergeCell ref="A135:B138"/>
    <mergeCell ref="C135:C138"/>
    <mergeCell ref="D135:L135"/>
    <mergeCell ref="D136:J136"/>
    <mergeCell ref="K136:K138"/>
    <mergeCell ref="A131:C131"/>
    <mergeCell ref="D131:J131"/>
    <mergeCell ref="K131:L131"/>
    <mergeCell ref="A132:B132"/>
    <mergeCell ref="D132:J132"/>
    <mergeCell ref="K132:L132"/>
    <mergeCell ref="A130:B130"/>
    <mergeCell ref="D130:J130"/>
    <mergeCell ref="K130:L130"/>
    <mergeCell ref="L93:L95"/>
    <mergeCell ref="D94:D95"/>
    <mergeCell ref="E94:J94"/>
    <mergeCell ref="A115:B115"/>
    <mergeCell ref="G116:L116"/>
    <mergeCell ref="A117:D117"/>
    <mergeCell ref="H117:L117"/>
    <mergeCell ref="M95:P95"/>
    <mergeCell ref="A96:B96"/>
    <mergeCell ref="A114:B114"/>
    <mergeCell ref="A89:B89"/>
    <mergeCell ref="D89:J89"/>
    <mergeCell ref="K89:L89"/>
    <mergeCell ref="K90:L90"/>
    <mergeCell ref="K91:L91"/>
    <mergeCell ref="A92:B95"/>
    <mergeCell ref="C92:C95"/>
    <mergeCell ref="D92:L92"/>
    <mergeCell ref="D93:J93"/>
    <mergeCell ref="K93:K95"/>
    <mergeCell ref="A87:B87"/>
    <mergeCell ref="D87:J87"/>
    <mergeCell ref="K87:L87"/>
    <mergeCell ref="A88:C88"/>
    <mergeCell ref="D88:J88"/>
    <mergeCell ref="K88:L88"/>
    <mergeCell ref="M54:P54"/>
    <mergeCell ref="A55:B55"/>
    <mergeCell ref="A73:B73"/>
    <mergeCell ref="A74:B74"/>
    <mergeCell ref="L52:L54"/>
    <mergeCell ref="D53:D54"/>
    <mergeCell ref="E53:J53"/>
    <mergeCell ref="G75:L75"/>
    <mergeCell ref="A76:D76"/>
    <mergeCell ref="H76:L76"/>
    <mergeCell ref="K49:L49"/>
    <mergeCell ref="K50:L50"/>
    <mergeCell ref="A51:B54"/>
    <mergeCell ref="C51:C54"/>
    <mergeCell ref="D51:L51"/>
    <mergeCell ref="D52:J52"/>
    <mergeCell ref="K52:K54"/>
    <mergeCell ref="A47:C47"/>
    <mergeCell ref="D47:J47"/>
    <mergeCell ref="K47:L47"/>
    <mergeCell ref="A48:B48"/>
    <mergeCell ref="D48:J48"/>
    <mergeCell ref="K48:L48"/>
    <mergeCell ref="A38:D38"/>
    <mergeCell ref="H38:L38"/>
    <mergeCell ref="A31:D31"/>
    <mergeCell ref="H31:L31"/>
    <mergeCell ref="H32:L32"/>
    <mergeCell ref="K3:L3"/>
    <mergeCell ref="A46:B46"/>
    <mergeCell ref="D46:J46"/>
    <mergeCell ref="K46:L46"/>
    <mergeCell ref="K4:L4"/>
    <mergeCell ref="K5:L5"/>
    <mergeCell ref="D6:L6"/>
    <mergeCell ref="D7:J7"/>
    <mergeCell ref="K7:K9"/>
    <mergeCell ref="L7:L9"/>
    <mergeCell ref="K1:L1"/>
    <mergeCell ref="A2:C2"/>
    <mergeCell ref="D2:J2"/>
    <mergeCell ref="K2:L2"/>
    <mergeCell ref="E5:I5"/>
    <mergeCell ref="A1:B1"/>
    <mergeCell ref="A3:B3"/>
    <mergeCell ref="D1:J1"/>
    <mergeCell ref="D3:J3"/>
    <mergeCell ref="M9:P9"/>
    <mergeCell ref="B32:C32"/>
    <mergeCell ref="C6:C9"/>
    <mergeCell ref="D8:D9"/>
    <mergeCell ref="A10:B10"/>
    <mergeCell ref="A6:B9"/>
    <mergeCell ref="A28:B28"/>
    <mergeCell ref="A29:B29"/>
    <mergeCell ref="I30:L30"/>
    <mergeCell ref="E8:J8"/>
  </mergeCells>
  <printOptions/>
  <pageMargins left="0" right="0" top="0" bottom="0" header="0.196850393700787" footer="0.196850393700787"/>
  <pageSetup horizontalDpi="600" verticalDpi="600" orientation="landscape" paperSize="9" r:id="rId2"/>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T86"/>
  <sheetViews>
    <sheetView showZeros="0" view="pageBreakPreview" zoomScaleSheetLayoutView="100" zoomScalePageLayoutView="0" workbookViewId="0" topLeftCell="A1">
      <selection activeCell="I81" sqref="I81"/>
    </sheetView>
  </sheetViews>
  <sheetFormatPr defaultColWidth="9.00390625" defaultRowHeight="15.75"/>
  <cols>
    <col min="1" max="1" width="3.50390625" style="26" customWidth="1"/>
    <col min="2" max="2" width="19.625" style="26" customWidth="1"/>
    <col min="3" max="3" width="10.125" style="26" customWidth="1"/>
    <col min="4" max="5" width="7.375" style="26" customWidth="1"/>
    <col min="6" max="6" width="7.25390625" style="26" customWidth="1"/>
    <col min="7" max="7" width="6.75390625" style="26" customWidth="1"/>
    <col min="8" max="8" width="8.875" style="26" customWidth="1"/>
    <col min="9" max="9" width="8.25390625" style="26" customWidth="1"/>
    <col min="10" max="10" width="8.125" style="26" customWidth="1"/>
    <col min="11" max="11" width="7.625" style="26" customWidth="1"/>
    <col min="12" max="12" width="7.875" style="26" customWidth="1"/>
    <col min="13" max="13" width="7.25390625" style="26" customWidth="1"/>
    <col min="14" max="14" width="7.125" style="26" customWidth="1"/>
    <col min="15" max="15" width="7.00390625" style="26" customWidth="1"/>
    <col min="16" max="16" width="6.75390625" style="26" customWidth="1"/>
    <col min="17" max="17" width="7.50390625" style="26" customWidth="1"/>
    <col min="18" max="18" width="7.75390625" style="26" customWidth="1"/>
    <col min="19" max="19" width="6.75390625" style="26" customWidth="1"/>
    <col min="20" max="16384" width="9.00390625" style="26" customWidth="1"/>
  </cols>
  <sheetData>
    <row r="1" spans="1:19" ht="20.25" customHeight="1">
      <c r="A1" s="441" t="s">
        <v>34</v>
      </c>
      <c r="B1" s="441"/>
      <c r="C1" s="441"/>
      <c r="E1" s="1592" t="s">
        <v>83</v>
      </c>
      <c r="F1" s="1592"/>
      <c r="G1" s="1592"/>
      <c r="H1" s="1592"/>
      <c r="I1" s="1592"/>
      <c r="J1" s="1592"/>
      <c r="K1" s="1592"/>
      <c r="L1" s="1592"/>
      <c r="M1" s="1592"/>
      <c r="N1" s="1592"/>
      <c r="O1" s="1592"/>
      <c r="P1" s="408" t="s">
        <v>574</v>
      </c>
      <c r="Q1" s="408"/>
      <c r="R1" s="408"/>
      <c r="S1" s="408"/>
    </row>
    <row r="2" spans="1:19" ht="17.25" customHeight="1">
      <c r="A2" s="1596" t="s">
        <v>342</v>
      </c>
      <c r="B2" s="1596"/>
      <c r="C2" s="1596"/>
      <c r="D2" s="1596"/>
      <c r="E2" s="1593" t="s">
        <v>42</v>
      </c>
      <c r="F2" s="1593"/>
      <c r="G2" s="1593"/>
      <c r="H2" s="1593"/>
      <c r="I2" s="1593"/>
      <c r="J2" s="1593"/>
      <c r="K2" s="1593"/>
      <c r="L2" s="1593"/>
      <c r="M2" s="1593"/>
      <c r="N2" s="1593"/>
      <c r="O2" s="1593"/>
      <c r="P2" s="1597" t="str">
        <f>'Thong tin'!B4</f>
        <v>Cục THADS tỉnh Bình Thuận</v>
      </c>
      <c r="Q2" s="1597"/>
      <c r="R2" s="1597"/>
      <c r="S2" s="1597"/>
    </row>
    <row r="3" spans="1:19" ht="19.5" customHeight="1">
      <c r="A3" s="1596" t="s">
        <v>343</v>
      </c>
      <c r="B3" s="1596"/>
      <c r="C3" s="1596"/>
      <c r="D3" s="1596"/>
      <c r="E3" s="1594" t="str">
        <f>'Thong tin'!B3</f>
        <v>10 tháng / năm 2016</v>
      </c>
      <c r="F3" s="1594"/>
      <c r="G3" s="1594"/>
      <c r="H3" s="1594"/>
      <c r="I3" s="1594"/>
      <c r="J3" s="1594"/>
      <c r="K3" s="1594"/>
      <c r="L3" s="1594"/>
      <c r="M3" s="1594"/>
      <c r="N3" s="1594"/>
      <c r="O3" s="1594"/>
      <c r="P3" s="408" t="s">
        <v>575</v>
      </c>
      <c r="Q3" s="441"/>
      <c r="R3" s="408"/>
      <c r="S3" s="408"/>
    </row>
    <row r="4" spans="1:19" ht="14.25" customHeight="1">
      <c r="A4" s="411" t="s">
        <v>217</v>
      </c>
      <c r="B4" s="441"/>
      <c r="C4" s="441"/>
      <c r="D4" s="441"/>
      <c r="E4" s="441"/>
      <c r="F4" s="441"/>
      <c r="G4" s="441"/>
      <c r="H4" s="441"/>
      <c r="I4" s="441"/>
      <c r="J4" s="441"/>
      <c r="K4" s="441"/>
      <c r="L4" s="441"/>
      <c r="M4" s="441"/>
      <c r="N4" s="483"/>
      <c r="O4" s="483"/>
      <c r="P4" s="1587" t="s">
        <v>410</v>
      </c>
      <c r="Q4" s="1587"/>
      <c r="R4" s="1587"/>
      <c r="S4" s="1587"/>
    </row>
    <row r="5" spans="2:19" ht="21.75" customHeight="1">
      <c r="B5" s="439"/>
      <c r="C5" s="439"/>
      <c r="Q5" s="484" t="s">
        <v>341</v>
      </c>
      <c r="R5" s="485"/>
      <c r="S5" s="485"/>
    </row>
    <row r="6" spans="1:19" ht="19.5" customHeight="1">
      <c r="A6" s="1531" t="s">
        <v>72</v>
      </c>
      <c r="B6" s="1531"/>
      <c r="C6" s="1589" t="s">
        <v>218</v>
      </c>
      <c r="D6" s="1589"/>
      <c r="E6" s="1589"/>
      <c r="F6" s="1588" t="s">
        <v>134</v>
      </c>
      <c r="G6" s="1588" t="s">
        <v>219</v>
      </c>
      <c r="H6" s="1595" t="s">
        <v>137</v>
      </c>
      <c r="I6" s="1595"/>
      <c r="J6" s="1595"/>
      <c r="K6" s="1595"/>
      <c r="L6" s="1595"/>
      <c r="M6" s="1595"/>
      <c r="N6" s="1595"/>
      <c r="O6" s="1595"/>
      <c r="P6" s="1595"/>
      <c r="Q6" s="1595"/>
      <c r="R6" s="1589" t="s">
        <v>352</v>
      </c>
      <c r="S6" s="1589" t="s">
        <v>577</v>
      </c>
    </row>
    <row r="7" spans="1:19" s="408" customFormat="1" ht="27" customHeight="1">
      <c r="A7" s="1531"/>
      <c r="B7" s="1531"/>
      <c r="C7" s="1589" t="s">
        <v>51</v>
      </c>
      <c r="D7" s="1590" t="s">
        <v>7</v>
      </c>
      <c r="E7" s="1590"/>
      <c r="F7" s="1588"/>
      <c r="G7" s="1588"/>
      <c r="H7" s="1588" t="s">
        <v>137</v>
      </c>
      <c r="I7" s="1589" t="s">
        <v>138</v>
      </c>
      <c r="J7" s="1589"/>
      <c r="K7" s="1589"/>
      <c r="L7" s="1589"/>
      <c r="M7" s="1589"/>
      <c r="N7" s="1589"/>
      <c r="O7" s="1589"/>
      <c r="P7" s="1589"/>
      <c r="Q7" s="1588" t="s">
        <v>151</v>
      </c>
      <c r="R7" s="1589"/>
      <c r="S7" s="1589"/>
    </row>
    <row r="8" spans="1:19" ht="21.75" customHeight="1">
      <c r="A8" s="1531"/>
      <c r="B8" s="1531"/>
      <c r="C8" s="1589"/>
      <c r="D8" s="1590" t="s">
        <v>221</v>
      </c>
      <c r="E8" s="1590" t="s">
        <v>222</v>
      </c>
      <c r="F8" s="1588"/>
      <c r="G8" s="1588"/>
      <c r="H8" s="1588"/>
      <c r="I8" s="1588" t="s">
        <v>576</v>
      </c>
      <c r="J8" s="1590" t="s">
        <v>7</v>
      </c>
      <c r="K8" s="1590"/>
      <c r="L8" s="1590"/>
      <c r="M8" s="1590"/>
      <c r="N8" s="1590"/>
      <c r="O8" s="1590"/>
      <c r="P8" s="1590"/>
      <c r="Q8" s="1588"/>
      <c r="R8" s="1589"/>
      <c r="S8" s="1589"/>
    </row>
    <row r="9" spans="1:19" ht="84" customHeight="1">
      <c r="A9" s="1531"/>
      <c r="B9" s="1531"/>
      <c r="C9" s="1589"/>
      <c r="D9" s="1590"/>
      <c r="E9" s="1590"/>
      <c r="F9" s="1588"/>
      <c r="G9" s="1588"/>
      <c r="H9" s="1588"/>
      <c r="I9" s="1588"/>
      <c r="J9" s="486" t="s">
        <v>223</v>
      </c>
      <c r="K9" s="486" t="s">
        <v>224</v>
      </c>
      <c r="L9" s="487" t="s">
        <v>142</v>
      </c>
      <c r="M9" s="487" t="s">
        <v>225</v>
      </c>
      <c r="N9" s="487" t="s">
        <v>146</v>
      </c>
      <c r="O9" s="487" t="s">
        <v>353</v>
      </c>
      <c r="P9" s="487" t="s">
        <v>150</v>
      </c>
      <c r="Q9" s="1588"/>
      <c r="R9" s="1589"/>
      <c r="S9" s="1589"/>
    </row>
    <row r="10" spans="1:19" ht="22.5" customHeight="1">
      <c r="A10" s="1582" t="s">
        <v>6</v>
      </c>
      <c r="B10" s="1583"/>
      <c r="C10" s="488">
        <v>1</v>
      </c>
      <c r="D10" s="488">
        <v>2</v>
      </c>
      <c r="E10" s="488">
        <v>3</v>
      </c>
      <c r="F10" s="488">
        <v>4</v>
      </c>
      <c r="G10" s="488">
        <v>5</v>
      </c>
      <c r="H10" s="488">
        <v>6</v>
      </c>
      <c r="I10" s="488">
        <v>7</v>
      </c>
      <c r="J10" s="488">
        <v>8</v>
      </c>
      <c r="K10" s="488">
        <v>9</v>
      </c>
      <c r="L10" s="488">
        <v>10</v>
      </c>
      <c r="M10" s="488">
        <v>11</v>
      </c>
      <c r="N10" s="488">
        <v>12</v>
      </c>
      <c r="O10" s="488">
        <v>13</v>
      </c>
      <c r="P10" s="488">
        <v>14</v>
      </c>
      <c r="Q10" s="488">
        <v>15</v>
      </c>
      <c r="R10" s="488">
        <v>16</v>
      </c>
      <c r="S10" s="489">
        <v>17</v>
      </c>
    </row>
    <row r="11" spans="1:20" ht="25.5" customHeight="1">
      <c r="A11" s="1584" t="s">
        <v>37</v>
      </c>
      <c r="B11" s="1585"/>
      <c r="C11" s="730">
        <f>C12+C25</f>
        <v>15733</v>
      </c>
      <c r="D11" s="730">
        <f aca="true" t="shared" si="0" ref="D11:R11">D12+D25</f>
        <v>5853</v>
      </c>
      <c r="E11" s="730">
        <f t="shared" si="0"/>
        <v>9880</v>
      </c>
      <c r="F11" s="730">
        <f t="shared" si="0"/>
        <v>203</v>
      </c>
      <c r="G11" s="730">
        <f t="shared" si="0"/>
        <v>30</v>
      </c>
      <c r="H11" s="730">
        <f t="shared" si="0"/>
        <v>15530</v>
      </c>
      <c r="I11" s="730">
        <f t="shared" si="0"/>
        <v>13657</v>
      </c>
      <c r="J11" s="730">
        <f t="shared" si="0"/>
        <v>7793</v>
      </c>
      <c r="K11" s="730">
        <f t="shared" si="0"/>
        <v>299</v>
      </c>
      <c r="L11" s="730">
        <f t="shared" si="0"/>
        <v>5105</v>
      </c>
      <c r="M11" s="730">
        <f t="shared" si="0"/>
        <v>105</v>
      </c>
      <c r="N11" s="730">
        <f t="shared" si="0"/>
        <v>18</v>
      </c>
      <c r="O11" s="730">
        <f t="shared" si="0"/>
        <v>10</v>
      </c>
      <c r="P11" s="730">
        <f t="shared" si="0"/>
        <v>327</v>
      </c>
      <c r="Q11" s="730">
        <f t="shared" si="0"/>
        <v>1873</v>
      </c>
      <c r="R11" s="730">
        <f t="shared" si="0"/>
        <v>7438</v>
      </c>
      <c r="S11" s="731">
        <f>(J11+K11)/I11*100</f>
        <v>59.2516658124039</v>
      </c>
      <c r="T11" s="883">
        <f>Q11+I11+F11-C11</f>
        <v>0</v>
      </c>
    </row>
    <row r="12" spans="1:20" ht="25.5" customHeight="1">
      <c r="A12" s="732" t="s">
        <v>0</v>
      </c>
      <c r="B12" s="733" t="s">
        <v>683</v>
      </c>
      <c r="C12" s="730">
        <f>SUM(C13:C24)</f>
        <v>446</v>
      </c>
      <c r="D12" s="730">
        <f aca="true" t="shared" si="1" ref="D12:Q12">SUM(D13:D24)</f>
        <v>340</v>
      </c>
      <c r="E12" s="730">
        <f t="shared" si="1"/>
        <v>106</v>
      </c>
      <c r="F12" s="730">
        <f t="shared" si="1"/>
        <v>10</v>
      </c>
      <c r="G12" s="730">
        <f t="shared" si="1"/>
        <v>0</v>
      </c>
      <c r="H12" s="730">
        <f t="shared" si="1"/>
        <v>436</v>
      </c>
      <c r="I12" s="730">
        <f t="shared" si="1"/>
        <v>351</v>
      </c>
      <c r="J12" s="730">
        <f t="shared" si="1"/>
        <v>104</v>
      </c>
      <c r="K12" s="730">
        <f t="shared" si="1"/>
        <v>13</v>
      </c>
      <c r="L12" s="730">
        <f t="shared" si="1"/>
        <v>201</v>
      </c>
      <c r="M12" s="730">
        <f t="shared" si="1"/>
        <v>12</v>
      </c>
      <c r="N12" s="730">
        <f t="shared" si="1"/>
        <v>3</v>
      </c>
      <c r="O12" s="730">
        <f t="shared" si="1"/>
        <v>0</v>
      </c>
      <c r="P12" s="730">
        <f t="shared" si="1"/>
        <v>18</v>
      </c>
      <c r="Q12" s="730">
        <f t="shared" si="1"/>
        <v>85</v>
      </c>
      <c r="R12" s="730">
        <f>L12+M12+N12+O12+P12+Q12</f>
        <v>319</v>
      </c>
      <c r="S12" s="731">
        <f>(J12+K12)/I12*100</f>
        <v>33.33333333333333</v>
      </c>
      <c r="T12" s="883">
        <f aca="true" t="shared" si="2" ref="T12:T74">Q12+I12+F12-C12</f>
        <v>0</v>
      </c>
    </row>
    <row r="13" spans="1:20" ht="21.75" customHeight="1">
      <c r="A13" s="734" t="s">
        <v>52</v>
      </c>
      <c r="B13" s="735" t="s">
        <v>682</v>
      </c>
      <c r="C13" s="730">
        <f>D13+E13</f>
        <v>2</v>
      </c>
      <c r="D13" s="736">
        <v>0</v>
      </c>
      <c r="E13" s="736">
        <v>2</v>
      </c>
      <c r="F13" s="737">
        <v>0</v>
      </c>
      <c r="G13" s="737">
        <v>0</v>
      </c>
      <c r="H13" s="730">
        <f>I13+Q13</f>
        <v>2</v>
      </c>
      <c r="I13" s="730">
        <f>J13+K13+L13+M13+N13+O13+P13</f>
        <v>2</v>
      </c>
      <c r="J13" s="736">
        <v>2</v>
      </c>
      <c r="K13" s="736">
        <v>0</v>
      </c>
      <c r="L13" s="736">
        <v>0</v>
      </c>
      <c r="M13" s="736">
        <v>0</v>
      </c>
      <c r="N13" s="736">
        <v>0</v>
      </c>
      <c r="O13" s="736">
        <v>0</v>
      </c>
      <c r="P13" s="738">
        <v>0</v>
      </c>
      <c r="Q13" s="739">
        <v>0</v>
      </c>
      <c r="R13" s="740">
        <f>L13+M13+N13+O13+P13+Q13</f>
        <v>0</v>
      </c>
      <c r="S13" s="741">
        <f>(J13+K13)/I13*100</f>
        <v>100</v>
      </c>
      <c r="T13" s="883">
        <f t="shared" si="2"/>
        <v>0</v>
      </c>
    </row>
    <row r="14" spans="1:20" ht="21.75" customHeight="1">
      <c r="A14" s="734" t="s">
        <v>53</v>
      </c>
      <c r="B14" s="735" t="s">
        <v>684</v>
      </c>
      <c r="C14" s="730">
        <f>D14+E14</f>
        <v>14</v>
      </c>
      <c r="D14" s="736">
        <v>3</v>
      </c>
      <c r="E14" s="736">
        <v>11</v>
      </c>
      <c r="F14" s="737">
        <v>0</v>
      </c>
      <c r="G14" s="737">
        <v>0</v>
      </c>
      <c r="H14" s="730">
        <f>I14+Q14</f>
        <v>14</v>
      </c>
      <c r="I14" s="730">
        <f>J14+K14+L14+M14+N14+O14+P14</f>
        <v>13</v>
      </c>
      <c r="J14" s="736">
        <v>4</v>
      </c>
      <c r="K14" s="736">
        <v>0</v>
      </c>
      <c r="L14" s="736">
        <v>5</v>
      </c>
      <c r="M14" s="736">
        <v>4</v>
      </c>
      <c r="N14" s="736">
        <v>0</v>
      </c>
      <c r="O14" s="736">
        <v>0</v>
      </c>
      <c r="P14" s="738">
        <v>0</v>
      </c>
      <c r="Q14" s="739">
        <v>1</v>
      </c>
      <c r="R14" s="740">
        <f>L14+M14+N14+O14+P14+Q14</f>
        <v>10</v>
      </c>
      <c r="S14" s="741">
        <f>(J14+K14)/I14*100</f>
        <v>30.76923076923077</v>
      </c>
      <c r="T14" s="883">
        <f t="shared" si="2"/>
        <v>0</v>
      </c>
    </row>
    <row r="15" spans="1:20" ht="23.25" customHeight="1">
      <c r="A15" s="734" t="s">
        <v>58</v>
      </c>
      <c r="B15" s="735" t="s">
        <v>685</v>
      </c>
      <c r="C15" s="730">
        <f>D15+E15</f>
        <v>5</v>
      </c>
      <c r="D15" s="736">
        <v>0</v>
      </c>
      <c r="E15" s="736">
        <v>5</v>
      </c>
      <c r="F15" s="737">
        <v>0</v>
      </c>
      <c r="G15" s="737">
        <v>0</v>
      </c>
      <c r="H15" s="730">
        <f>I15+Q15</f>
        <v>5</v>
      </c>
      <c r="I15" s="730">
        <f>J15+K15+L15+M15+N15+O15+P15</f>
        <v>5</v>
      </c>
      <c r="J15" s="736">
        <v>3</v>
      </c>
      <c r="K15" s="736">
        <v>0</v>
      </c>
      <c r="L15" s="736">
        <v>2</v>
      </c>
      <c r="M15" s="736">
        <v>0</v>
      </c>
      <c r="N15" s="736">
        <v>0</v>
      </c>
      <c r="O15" s="736">
        <v>0</v>
      </c>
      <c r="P15" s="738">
        <v>0</v>
      </c>
      <c r="Q15" s="739">
        <v>0</v>
      </c>
      <c r="R15" s="740">
        <f>L15+M15+N15+O15+P15+Q15</f>
        <v>2</v>
      </c>
      <c r="S15" s="741">
        <f>(J15+K15)/I15*100</f>
        <v>60</v>
      </c>
      <c r="T15" s="883">
        <f t="shared" si="2"/>
        <v>0</v>
      </c>
    </row>
    <row r="16" spans="1:20" ht="25.5" customHeight="1">
      <c r="A16" s="734" t="s">
        <v>73</v>
      </c>
      <c r="B16" s="735" t="s">
        <v>686</v>
      </c>
      <c r="C16" s="730">
        <f aca="true" t="shared" si="3" ref="C16:C24">D16+E16</f>
        <v>64</v>
      </c>
      <c r="D16" s="736">
        <v>60</v>
      </c>
      <c r="E16" s="736">
        <v>4</v>
      </c>
      <c r="F16" s="737">
        <v>1</v>
      </c>
      <c r="G16" s="737">
        <v>0</v>
      </c>
      <c r="H16" s="730">
        <f aca="true" t="shared" si="4" ref="H16:H24">I16+Q16</f>
        <v>63</v>
      </c>
      <c r="I16" s="730">
        <f aca="true" t="shared" si="5" ref="I16:I24">J16+K16+L16+M16+N16+O16+P16</f>
        <v>51</v>
      </c>
      <c r="J16" s="736">
        <v>19</v>
      </c>
      <c r="K16" s="736">
        <v>8</v>
      </c>
      <c r="L16" s="736">
        <v>24</v>
      </c>
      <c r="M16" s="736">
        <v>0</v>
      </c>
      <c r="N16" s="736">
        <v>0</v>
      </c>
      <c r="O16" s="736">
        <v>0</v>
      </c>
      <c r="P16" s="738">
        <v>0</v>
      </c>
      <c r="Q16" s="739">
        <v>12</v>
      </c>
      <c r="R16" s="740">
        <f aca="true" t="shared" si="6" ref="R16:R24">L16+M16+N16+O16+P16+Q16</f>
        <v>36</v>
      </c>
      <c r="S16" s="741">
        <f aca="true" t="shared" si="7" ref="S16:S77">(J16+K16)/I16*100</f>
        <v>52.94117647058824</v>
      </c>
      <c r="T16" s="883">
        <f t="shared" si="2"/>
        <v>0</v>
      </c>
    </row>
    <row r="17" spans="1:20" ht="25.5" customHeight="1">
      <c r="A17" s="734" t="s">
        <v>74</v>
      </c>
      <c r="B17" s="735" t="s">
        <v>687</v>
      </c>
      <c r="C17" s="730">
        <f t="shared" si="3"/>
        <v>47</v>
      </c>
      <c r="D17" s="736">
        <v>38</v>
      </c>
      <c r="E17" s="736">
        <v>9</v>
      </c>
      <c r="F17" s="737">
        <v>1</v>
      </c>
      <c r="G17" s="737">
        <v>0</v>
      </c>
      <c r="H17" s="730">
        <f t="shared" si="4"/>
        <v>46</v>
      </c>
      <c r="I17" s="730">
        <f t="shared" si="5"/>
        <v>33</v>
      </c>
      <c r="J17" s="736">
        <v>12</v>
      </c>
      <c r="K17" s="736">
        <v>0</v>
      </c>
      <c r="L17" s="736">
        <v>11</v>
      </c>
      <c r="M17" s="736">
        <v>2</v>
      </c>
      <c r="N17" s="736">
        <v>0</v>
      </c>
      <c r="O17" s="736">
        <v>0</v>
      </c>
      <c r="P17" s="738">
        <v>8</v>
      </c>
      <c r="Q17" s="739">
        <v>13</v>
      </c>
      <c r="R17" s="740">
        <f t="shared" si="6"/>
        <v>34</v>
      </c>
      <c r="S17" s="741">
        <f t="shared" si="7"/>
        <v>36.36363636363637</v>
      </c>
      <c r="T17" s="883">
        <f t="shared" si="2"/>
        <v>0</v>
      </c>
    </row>
    <row r="18" spans="1:20" ht="25.5" customHeight="1">
      <c r="A18" s="734" t="s">
        <v>75</v>
      </c>
      <c r="B18" s="735" t="s">
        <v>688</v>
      </c>
      <c r="C18" s="730">
        <f t="shared" si="3"/>
        <v>21</v>
      </c>
      <c r="D18" s="736">
        <v>19</v>
      </c>
      <c r="E18" s="736">
        <v>2</v>
      </c>
      <c r="F18" s="737">
        <v>2</v>
      </c>
      <c r="G18" s="737">
        <v>0</v>
      </c>
      <c r="H18" s="730">
        <f t="shared" si="4"/>
        <v>19</v>
      </c>
      <c r="I18" s="730">
        <f t="shared" si="5"/>
        <v>12</v>
      </c>
      <c r="J18" s="736">
        <v>3</v>
      </c>
      <c r="K18" s="736">
        <v>0</v>
      </c>
      <c r="L18" s="736">
        <v>9</v>
      </c>
      <c r="M18" s="736">
        <v>0</v>
      </c>
      <c r="N18" s="736">
        <v>0</v>
      </c>
      <c r="O18" s="736">
        <v>0</v>
      </c>
      <c r="P18" s="738">
        <v>0</v>
      </c>
      <c r="Q18" s="739">
        <v>7</v>
      </c>
      <c r="R18" s="740">
        <f t="shared" si="6"/>
        <v>16</v>
      </c>
      <c r="S18" s="741">
        <f t="shared" si="7"/>
        <v>25</v>
      </c>
      <c r="T18" s="883">
        <f t="shared" si="2"/>
        <v>0</v>
      </c>
    </row>
    <row r="19" spans="1:20" ht="25.5" customHeight="1">
      <c r="A19" s="734" t="s">
        <v>76</v>
      </c>
      <c r="B19" s="735" t="s">
        <v>689</v>
      </c>
      <c r="C19" s="730">
        <f t="shared" si="3"/>
        <v>59</v>
      </c>
      <c r="D19" s="736">
        <v>49</v>
      </c>
      <c r="E19" s="736">
        <v>10</v>
      </c>
      <c r="F19" s="737">
        <v>1</v>
      </c>
      <c r="G19" s="737">
        <v>0</v>
      </c>
      <c r="H19" s="730">
        <f t="shared" si="4"/>
        <v>58</v>
      </c>
      <c r="I19" s="730">
        <f t="shared" si="5"/>
        <v>44</v>
      </c>
      <c r="J19" s="736">
        <v>10</v>
      </c>
      <c r="K19" s="736">
        <v>2</v>
      </c>
      <c r="L19" s="736">
        <v>27</v>
      </c>
      <c r="M19" s="736">
        <v>2</v>
      </c>
      <c r="N19" s="736">
        <v>3</v>
      </c>
      <c r="O19" s="736">
        <v>0</v>
      </c>
      <c r="P19" s="738">
        <v>0</v>
      </c>
      <c r="Q19" s="739">
        <v>14</v>
      </c>
      <c r="R19" s="740">
        <f t="shared" si="6"/>
        <v>46</v>
      </c>
      <c r="S19" s="741">
        <f t="shared" si="7"/>
        <v>27.27272727272727</v>
      </c>
      <c r="T19" s="883">
        <f t="shared" si="2"/>
        <v>0</v>
      </c>
    </row>
    <row r="20" spans="1:20" ht="25.5" customHeight="1">
      <c r="A20" s="734" t="s">
        <v>77</v>
      </c>
      <c r="B20" s="742" t="s">
        <v>690</v>
      </c>
      <c r="C20" s="730">
        <f t="shared" si="3"/>
        <v>35</v>
      </c>
      <c r="D20" s="736">
        <v>30</v>
      </c>
      <c r="E20" s="736">
        <v>5</v>
      </c>
      <c r="F20" s="737">
        <v>0</v>
      </c>
      <c r="G20" s="737">
        <v>0</v>
      </c>
      <c r="H20" s="730">
        <f t="shared" si="4"/>
        <v>35</v>
      </c>
      <c r="I20" s="730">
        <f t="shared" si="5"/>
        <v>27</v>
      </c>
      <c r="J20" s="736">
        <v>6</v>
      </c>
      <c r="K20" s="736">
        <v>0</v>
      </c>
      <c r="L20" s="736">
        <v>20</v>
      </c>
      <c r="M20" s="736">
        <v>1</v>
      </c>
      <c r="N20" s="736">
        <v>0</v>
      </c>
      <c r="O20" s="736">
        <v>0</v>
      </c>
      <c r="P20" s="738">
        <v>0</v>
      </c>
      <c r="Q20" s="739">
        <v>8</v>
      </c>
      <c r="R20" s="740">
        <f t="shared" si="6"/>
        <v>29</v>
      </c>
      <c r="S20" s="741">
        <f t="shared" si="7"/>
        <v>22.22222222222222</v>
      </c>
      <c r="T20" s="883">
        <f t="shared" si="2"/>
        <v>0</v>
      </c>
    </row>
    <row r="21" spans="1:20" ht="25.5" customHeight="1">
      <c r="A21" s="734" t="s">
        <v>78</v>
      </c>
      <c r="B21" s="742" t="s">
        <v>691</v>
      </c>
      <c r="C21" s="730">
        <f t="shared" si="3"/>
        <v>26</v>
      </c>
      <c r="D21" s="736">
        <v>17</v>
      </c>
      <c r="E21" s="736">
        <v>9</v>
      </c>
      <c r="F21" s="737">
        <v>1</v>
      </c>
      <c r="G21" s="737">
        <v>0</v>
      </c>
      <c r="H21" s="730">
        <f t="shared" si="4"/>
        <v>25</v>
      </c>
      <c r="I21" s="730">
        <f t="shared" si="5"/>
        <v>23</v>
      </c>
      <c r="J21" s="736">
        <v>11</v>
      </c>
      <c r="K21" s="736">
        <v>0</v>
      </c>
      <c r="L21" s="736">
        <v>12</v>
      </c>
      <c r="M21" s="736">
        <v>0</v>
      </c>
      <c r="N21" s="736">
        <v>0</v>
      </c>
      <c r="O21" s="736">
        <v>0</v>
      </c>
      <c r="P21" s="738">
        <v>0</v>
      </c>
      <c r="Q21" s="739">
        <v>2</v>
      </c>
      <c r="R21" s="740">
        <f t="shared" si="6"/>
        <v>14</v>
      </c>
      <c r="S21" s="741">
        <f t="shared" si="7"/>
        <v>47.82608695652174</v>
      </c>
      <c r="T21" s="883">
        <f t="shared" si="2"/>
        <v>0</v>
      </c>
    </row>
    <row r="22" spans="1:20" ht="25.5" customHeight="1">
      <c r="A22" s="734" t="s">
        <v>101</v>
      </c>
      <c r="B22" s="735" t="s">
        <v>692</v>
      </c>
      <c r="C22" s="730">
        <f t="shared" si="3"/>
        <v>64</v>
      </c>
      <c r="D22" s="736">
        <v>51</v>
      </c>
      <c r="E22" s="736">
        <v>13</v>
      </c>
      <c r="F22" s="737">
        <v>2</v>
      </c>
      <c r="G22" s="737">
        <v>0</v>
      </c>
      <c r="H22" s="730">
        <f t="shared" si="4"/>
        <v>62</v>
      </c>
      <c r="I22" s="730">
        <f t="shared" si="5"/>
        <v>52</v>
      </c>
      <c r="J22" s="736">
        <v>8</v>
      </c>
      <c r="K22" s="736">
        <v>0</v>
      </c>
      <c r="L22" s="736">
        <v>32</v>
      </c>
      <c r="M22" s="736">
        <v>2</v>
      </c>
      <c r="N22" s="736">
        <v>0</v>
      </c>
      <c r="O22" s="736">
        <v>0</v>
      </c>
      <c r="P22" s="738">
        <v>10</v>
      </c>
      <c r="Q22" s="739">
        <v>10</v>
      </c>
      <c r="R22" s="740">
        <f t="shared" si="6"/>
        <v>54</v>
      </c>
      <c r="S22" s="741">
        <f t="shared" si="7"/>
        <v>15.384615384615385</v>
      </c>
      <c r="T22" s="883">
        <f t="shared" si="2"/>
        <v>0</v>
      </c>
    </row>
    <row r="23" spans="1:20" ht="24.75" customHeight="1">
      <c r="A23" s="734" t="s">
        <v>102</v>
      </c>
      <c r="B23" s="735" t="s">
        <v>693</v>
      </c>
      <c r="C23" s="730">
        <f t="shared" si="3"/>
        <v>67</v>
      </c>
      <c r="D23" s="736">
        <v>49</v>
      </c>
      <c r="E23" s="736">
        <v>18</v>
      </c>
      <c r="F23" s="737">
        <v>0</v>
      </c>
      <c r="G23" s="737">
        <v>0</v>
      </c>
      <c r="H23" s="730">
        <f t="shared" si="4"/>
        <v>67</v>
      </c>
      <c r="I23" s="730">
        <f t="shared" si="5"/>
        <v>52</v>
      </c>
      <c r="J23" s="736">
        <v>17</v>
      </c>
      <c r="K23" s="736">
        <v>1</v>
      </c>
      <c r="L23" s="736">
        <v>34</v>
      </c>
      <c r="M23" s="736">
        <v>0</v>
      </c>
      <c r="N23" s="736">
        <v>0</v>
      </c>
      <c r="O23" s="736">
        <v>0</v>
      </c>
      <c r="P23" s="738">
        <v>0</v>
      </c>
      <c r="Q23" s="739">
        <v>15</v>
      </c>
      <c r="R23" s="740">
        <f t="shared" si="6"/>
        <v>49</v>
      </c>
      <c r="S23" s="741">
        <f t="shared" si="7"/>
        <v>34.61538461538461</v>
      </c>
      <c r="T23" s="883">
        <f t="shared" si="2"/>
        <v>0</v>
      </c>
    </row>
    <row r="24" spans="1:20" ht="24.75" customHeight="1" thickBot="1">
      <c r="A24" s="743" t="s">
        <v>103</v>
      </c>
      <c r="B24" s="744" t="s">
        <v>694</v>
      </c>
      <c r="C24" s="745">
        <f t="shared" si="3"/>
        <v>42</v>
      </c>
      <c r="D24" s="746">
        <v>24</v>
      </c>
      <c r="E24" s="746">
        <v>18</v>
      </c>
      <c r="F24" s="747">
        <v>2</v>
      </c>
      <c r="G24" s="747">
        <v>0</v>
      </c>
      <c r="H24" s="745">
        <f t="shared" si="4"/>
        <v>40</v>
      </c>
      <c r="I24" s="745">
        <f t="shared" si="5"/>
        <v>37</v>
      </c>
      <c r="J24" s="746">
        <v>9</v>
      </c>
      <c r="K24" s="746">
        <v>2</v>
      </c>
      <c r="L24" s="746">
        <v>25</v>
      </c>
      <c r="M24" s="746">
        <v>1</v>
      </c>
      <c r="N24" s="746">
        <v>0</v>
      </c>
      <c r="O24" s="746">
        <v>0</v>
      </c>
      <c r="P24" s="748">
        <v>0</v>
      </c>
      <c r="Q24" s="749">
        <v>3</v>
      </c>
      <c r="R24" s="750">
        <f t="shared" si="6"/>
        <v>29</v>
      </c>
      <c r="S24" s="751">
        <f t="shared" si="7"/>
        <v>29.72972972972973</v>
      </c>
      <c r="T24" s="883">
        <f t="shared" si="2"/>
        <v>0</v>
      </c>
    </row>
    <row r="25" spans="1:20" ht="24.75" customHeight="1" thickTop="1">
      <c r="A25" s="752" t="s">
        <v>1</v>
      </c>
      <c r="B25" s="753" t="s">
        <v>19</v>
      </c>
      <c r="C25" s="754">
        <f aca="true" t="shared" si="8" ref="C25:Q25">C26+C37+C42+C48+C53+C57+C60+C66+C71+C75</f>
        <v>15287</v>
      </c>
      <c r="D25" s="754">
        <f t="shared" si="8"/>
        <v>5513</v>
      </c>
      <c r="E25" s="754">
        <f t="shared" si="8"/>
        <v>9774</v>
      </c>
      <c r="F25" s="754">
        <f t="shared" si="8"/>
        <v>193</v>
      </c>
      <c r="G25" s="754">
        <f t="shared" si="8"/>
        <v>30</v>
      </c>
      <c r="H25" s="754">
        <f t="shared" si="8"/>
        <v>15094</v>
      </c>
      <c r="I25" s="754">
        <f t="shared" si="8"/>
        <v>13306</v>
      </c>
      <c r="J25" s="754">
        <f t="shared" si="8"/>
        <v>7689</v>
      </c>
      <c r="K25" s="754">
        <f t="shared" si="8"/>
        <v>286</v>
      </c>
      <c r="L25" s="754">
        <f t="shared" si="8"/>
        <v>4904</v>
      </c>
      <c r="M25" s="754">
        <f t="shared" si="8"/>
        <v>93</v>
      </c>
      <c r="N25" s="754">
        <f t="shared" si="8"/>
        <v>15</v>
      </c>
      <c r="O25" s="754">
        <f t="shared" si="8"/>
        <v>10</v>
      </c>
      <c r="P25" s="754">
        <f t="shared" si="8"/>
        <v>309</v>
      </c>
      <c r="Q25" s="754">
        <f t="shared" si="8"/>
        <v>1788</v>
      </c>
      <c r="R25" s="755">
        <f>L25+M25+N25+O25+P25+Q25</f>
        <v>7119</v>
      </c>
      <c r="S25" s="756">
        <f t="shared" si="7"/>
        <v>59.93536750338193</v>
      </c>
      <c r="T25" s="883">
        <f t="shared" si="2"/>
        <v>0</v>
      </c>
    </row>
    <row r="26" spans="1:20" ht="24.75" customHeight="1">
      <c r="A26" s="732" t="s">
        <v>52</v>
      </c>
      <c r="B26" s="733" t="s">
        <v>695</v>
      </c>
      <c r="C26" s="730">
        <f>SUM(C27:C36)</f>
        <v>2919</v>
      </c>
      <c r="D26" s="730">
        <f aca="true" t="shared" si="9" ref="D26:Q26">SUM(D27:D36)</f>
        <v>1351</v>
      </c>
      <c r="E26" s="730">
        <f t="shared" si="9"/>
        <v>1568</v>
      </c>
      <c r="F26" s="730">
        <f t="shared" si="9"/>
        <v>49</v>
      </c>
      <c r="G26" s="730">
        <f t="shared" si="9"/>
        <v>6</v>
      </c>
      <c r="H26" s="730">
        <f t="shared" si="9"/>
        <v>2870</v>
      </c>
      <c r="I26" s="730">
        <f t="shared" si="9"/>
        <v>2482</v>
      </c>
      <c r="J26" s="730">
        <f t="shared" si="9"/>
        <v>1263</v>
      </c>
      <c r="K26" s="730">
        <f t="shared" si="9"/>
        <v>94</v>
      </c>
      <c r="L26" s="730">
        <f t="shared" si="9"/>
        <v>1035</v>
      </c>
      <c r="M26" s="730">
        <f t="shared" si="9"/>
        <v>27</v>
      </c>
      <c r="N26" s="730">
        <f t="shared" si="9"/>
        <v>14</v>
      </c>
      <c r="O26" s="730">
        <f t="shared" si="9"/>
        <v>0</v>
      </c>
      <c r="P26" s="730">
        <f t="shared" si="9"/>
        <v>49</v>
      </c>
      <c r="Q26" s="730">
        <f t="shared" si="9"/>
        <v>388</v>
      </c>
      <c r="R26" s="755">
        <f>L26+M26+N26+O26+P26+Q26</f>
        <v>1513</v>
      </c>
      <c r="S26" s="731">
        <f t="shared" si="7"/>
        <v>54.673650282030614</v>
      </c>
      <c r="T26" s="883">
        <f t="shared" si="2"/>
        <v>0</v>
      </c>
    </row>
    <row r="27" spans="1:20" ht="24.75" customHeight="1">
      <c r="A27" s="734" t="s">
        <v>54</v>
      </c>
      <c r="B27" s="735" t="s">
        <v>696</v>
      </c>
      <c r="C27" s="730">
        <f>D27+E27</f>
        <v>157</v>
      </c>
      <c r="D27" s="991">
        <v>65</v>
      </c>
      <c r="E27" s="991">
        <v>92</v>
      </c>
      <c r="F27" s="992">
        <v>4</v>
      </c>
      <c r="G27" s="992"/>
      <c r="H27" s="730">
        <f>I27+Q27</f>
        <v>153</v>
      </c>
      <c r="I27" s="730">
        <f>J27+K27+L27+M27+N27+O27+P27</f>
        <v>145</v>
      </c>
      <c r="J27" s="991">
        <v>66</v>
      </c>
      <c r="K27" s="991">
        <v>1</v>
      </c>
      <c r="L27" s="991">
        <v>46</v>
      </c>
      <c r="M27" s="991">
        <v>17</v>
      </c>
      <c r="N27" s="991">
        <v>3</v>
      </c>
      <c r="O27" s="991"/>
      <c r="P27" s="993">
        <v>12</v>
      </c>
      <c r="Q27" s="994">
        <v>8</v>
      </c>
      <c r="R27" s="995">
        <f aca="true" t="shared" si="10" ref="R27:R77">L27+M27+N27+O27+P27+Q27</f>
        <v>86</v>
      </c>
      <c r="S27" s="741">
        <f t="shared" si="7"/>
        <v>46.206896551724135</v>
      </c>
      <c r="T27" s="883">
        <f t="shared" si="2"/>
        <v>0</v>
      </c>
    </row>
    <row r="28" spans="1:20" ht="24.75" customHeight="1">
      <c r="A28" s="734" t="s">
        <v>55</v>
      </c>
      <c r="B28" s="735" t="s">
        <v>697</v>
      </c>
      <c r="C28" s="730">
        <f aca="true" t="shared" si="11" ref="C28:C77">D28+E28</f>
        <v>257</v>
      </c>
      <c r="D28" s="991">
        <v>208</v>
      </c>
      <c r="E28" s="991">
        <v>49</v>
      </c>
      <c r="F28" s="992">
        <v>1</v>
      </c>
      <c r="G28" s="992"/>
      <c r="H28" s="730">
        <f aca="true" t="shared" si="12" ref="H28:H77">I28+Q28</f>
        <v>256</v>
      </c>
      <c r="I28" s="730">
        <f aca="true" t="shared" si="13" ref="I28:I77">J28+K28+L28+M28+N28+O28+P28</f>
        <v>225</v>
      </c>
      <c r="J28" s="991">
        <v>58</v>
      </c>
      <c r="K28" s="991">
        <v>8</v>
      </c>
      <c r="L28" s="991">
        <v>154</v>
      </c>
      <c r="M28" s="991">
        <v>3</v>
      </c>
      <c r="N28" s="991">
        <v>2</v>
      </c>
      <c r="O28" s="991"/>
      <c r="P28" s="993">
        <v>0</v>
      </c>
      <c r="Q28" s="994">
        <v>31</v>
      </c>
      <c r="R28" s="995">
        <f t="shared" si="10"/>
        <v>190</v>
      </c>
      <c r="S28" s="741">
        <f t="shared" si="7"/>
        <v>29.333333333333332</v>
      </c>
      <c r="T28" s="883">
        <f t="shared" si="2"/>
        <v>0</v>
      </c>
    </row>
    <row r="29" spans="1:20" ht="24.75" customHeight="1">
      <c r="A29" s="734" t="s">
        <v>141</v>
      </c>
      <c r="B29" s="735" t="s">
        <v>698</v>
      </c>
      <c r="C29" s="730">
        <f t="shared" si="11"/>
        <v>252</v>
      </c>
      <c r="D29" s="991">
        <v>152</v>
      </c>
      <c r="E29" s="991">
        <v>100</v>
      </c>
      <c r="F29" s="992"/>
      <c r="G29" s="992"/>
      <c r="H29" s="730">
        <f t="shared" si="12"/>
        <v>252</v>
      </c>
      <c r="I29" s="730">
        <f t="shared" si="13"/>
        <v>220</v>
      </c>
      <c r="J29" s="991">
        <v>89</v>
      </c>
      <c r="K29" s="991">
        <v>18</v>
      </c>
      <c r="L29" s="991">
        <v>97</v>
      </c>
      <c r="M29" s="991">
        <v>1</v>
      </c>
      <c r="N29" s="991">
        <v>0</v>
      </c>
      <c r="O29" s="991"/>
      <c r="P29" s="993">
        <v>15</v>
      </c>
      <c r="Q29" s="994">
        <v>32</v>
      </c>
      <c r="R29" s="995">
        <f t="shared" si="10"/>
        <v>145</v>
      </c>
      <c r="S29" s="741">
        <f t="shared" si="7"/>
        <v>48.63636363636364</v>
      </c>
      <c r="T29" s="883">
        <f t="shared" si="2"/>
        <v>0</v>
      </c>
    </row>
    <row r="30" spans="1:20" ht="24.75" customHeight="1">
      <c r="A30" s="734" t="s">
        <v>143</v>
      </c>
      <c r="B30" s="735" t="s">
        <v>699</v>
      </c>
      <c r="C30" s="730">
        <f t="shared" si="11"/>
        <v>359</v>
      </c>
      <c r="D30" s="991">
        <v>169</v>
      </c>
      <c r="E30" s="736">
        <v>190</v>
      </c>
      <c r="F30" s="992">
        <v>3</v>
      </c>
      <c r="G30" s="992">
        <v>2</v>
      </c>
      <c r="H30" s="730">
        <f t="shared" si="12"/>
        <v>356</v>
      </c>
      <c r="I30" s="730">
        <f t="shared" si="13"/>
        <v>311</v>
      </c>
      <c r="J30" s="991">
        <v>153</v>
      </c>
      <c r="K30" s="991">
        <v>18</v>
      </c>
      <c r="L30" s="991">
        <v>138</v>
      </c>
      <c r="M30" s="991">
        <v>1</v>
      </c>
      <c r="N30" s="991"/>
      <c r="O30" s="991"/>
      <c r="P30" s="993">
        <v>1</v>
      </c>
      <c r="Q30" s="994">
        <v>45</v>
      </c>
      <c r="R30" s="995">
        <f t="shared" si="10"/>
        <v>185</v>
      </c>
      <c r="S30" s="741">
        <f t="shared" si="7"/>
        <v>54.983922829581985</v>
      </c>
      <c r="T30" s="883">
        <f t="shared" si="2"/>
        <v>0</v>
      </c>
    </row>
    <row r="31" spans="1:20" ht="24.75" customHeight="1">
      <c r="A31" s="734" t="s">
        <v>145</v>
      </c>
      <c r="B31" s="735" t="s">
        <v>700</v>
      </c>
      <c r="C31" s="730">
        <f t="shared" si="11"/>
        <v>301</v>
      </c>
      <c r="D31" s="991">
        <v>189</v>
      </c>
      <c r="E31" s="991">
        <v>112</v>
      </c>
      <c r="F31" s="992">
        <v>1</v>
      </c>
      <c r="G31" s="992"/>
      <c r="H31" s="730">
        <f t="shared" si="12"/>
        <v>300</v>
      </c>
      <c r="I31" s="730">
        <f t="shared" si="13"/>
        <v>243</v>
      </c>
      <c r="J31" s="991">
        <v>87</v>
      </c>
      <c r="K31" s="991">
        <v>14</v>
      </c>
      <c r="L31" s="991">
        <v>130</v>
      </c>
      <c r="M31" s="991">
        <v>1</v>
      </c>
      <c r="N31" s="991"/>
      <c r="O31" s="991"/>
      <c r="P31" s="993">
        <v>11</v>
      </c>
      <c r="Q31" s="994">
        <v>57</v>
      </c>
      <c r="R31" s="995">
        <f t="shared" si="10"/>
        <v>199</v>
      </c>
      <c r="S31" s="741">
        <f t="shared" si="7"/>
        <v>41.56378600823045</v>
      </c>
      <c r="T31" s="883">
        <f t="shared" si="2"/>
        <v>0</v>
      </c>
    </row>
    <row r="32" spans="1:20" ht="24.75" customHeight="1">
      <c r="A32" s="734" t="s">
        <v>147</v>
      </c>
      <c r="B32" s="735" t="s">
        <v>701</v>
      </c>
      <c r="C32" s="730">
        <f t="shared" si="11"/>
        <v>297</v>
      </c>
      <c r="D32" s="991">
        <v>190</v>
      </c>
      <c r="E32" s="991">
        <v>107</v>
      </c>
      <c r="F32" s="992">
        <v>4</v>
      </c>
      <c r="G32" s="992">
        <v>1</v>
      </c>
      <c r="H32" s="730">
        <f t="shared" si="12"/>
        <v>293</v>
      </c>
      <c r="I32" s="730">
        <f t="shared" si="13"/>
        <v>228</v>
      </c>
      <c r="J32" s="991">
        <v>110</v>
      </c>
      <c r="K32" s="991">
        <v>8</v>
      </c>
      <c r="L32" s="991">
        <v>102</v>
      </c>
      <c r="M32" s="991">
        <v>0</v>
      </c>
      <c r="N32" s="991">
        <v>8</v>
      </c>
      <c r="O32" s="991"/>
      <c r="P32" s="993">
        <v>0</v>
      </c>
      <c r="Q32" s="994">
        <v>65</v>
      </c>
      <c r="R32" s="995">
        <f t="shared" si="10"/>
        <v>175</v>
      </c>
      <c r="S32" s="741">
        <f t="shared" si="7"/>
        <v>51.75438596491229</v>
      </c>
      <c r="T32" s="883">
        <f t="shared" si="2"/>
        <v>0</v>
      </c>
    </row>
    <row r="33" spans="1:20" ht="24.75" customHeight="1">
      <c r="A33" s="734" t="s">
        <v>149</v>
      </c>
      <c r="B33" s="735" t="s">
        <v>702</v>
      </c>
      <c r="C33" s="730">
        <f t="shared" si="11"/>
        <v>262</v>
      </c>
      <c r="D33" s="991">
        <v>83</v>
      </c>
      <c r="E33" s="991">
        <v>179</v>
      </c>
      <c r="F33" s="992">
        <v>4</v>
      </c>
      <c r="G33" s="992">
        <v>3</v>
      </c>
      <c r="H33" s="730">
        <f t="shared" si="12"/>
        <v>258</v>
      </c>
      <c r="I33" s="730">
        <f t="shared" si="13"/>
        <v>229</v>
      </c>
      <c r="J33" s="991">
        <v>135</v>
      </c>
      <c r="K33" s="991">
        <v>5</v>
      </c>
      <c r="L33" s="991">
        <v>78</v>
      </c>
      <c r="M33" s="991"/>
      <c r="N33" s="991">
        <v>1</v>
      </c>
      <c r="O33" s="991"/>
      <c r="P33" s="993">
        <v>10</v>
      </c>
      <c r="Q33" s="994">
        <v>29</v>
      </c>
      <c r="R33" s="995">
        <f t="shared" si="10"/>
        <v>118</v>
      </c>
      <c r="S33" s="741">
        <f t="shared" si="7"/>
        <v>61.135371179039296</v>
      </c>
      <c r="T33" s="883">
        <f t="shared" si="2"/>
        <v>0</v>
      </c>
    </row>
    <row r="34" spans="1:20" ht="24.75" customHeight="1">
      <c r="A34" s="734" t="s">
        <v>186</v>
      </c>
      <c r="B34" s="735" t="s">
        <v>703</v>
      </c>
      <c r="C34" s="730">
        <f t="shared" si="11"/>
        <v>402</v>
      </c>
      <c r="D34" s="991">
        <v>147</v>
      </c>
      <c r="E34" s="991">
        <v>255</v>
      </c>
      <c r="F34" s="992">
        <v>10</v>
      </c>
      <c r="G34" s="992"/>
      <c r="H34" s="730">
        <f t="shared" si="12"/>
        <v>392</v>
      </c>
      <c r="I34" s="730">
        <f t="shared" si="13"/>
        <v>352</v>
      </c>
      <c r="J34" s="991">
        <v>210</v>
      </c>
      <c r="K34" s="991">
        <v>7</v>
      </c>
      <c r="L34" s="991">
        <v>135</v>
      </c>
      <c r="M34" s="991"/>
      <c r="N34" s="991"/>
      <c r="O34" s="991"/>
      <c r="P34" s="993"/>
      <c r="Q34" s="994">
        <v>40</v>
      </c>
      <c r="R34" s="995">
        <f t="shared" si="10"/>
        <v>175</v>
      </c>
      <c r="S34" s="741">
        <f t="shared" si="7"/>
        <v>61.64772727272727</v>
      </c>
      <c r="T34" s="883">
        <f t="shared" si="2"/>
        <v>0</v>
      </c>
    </row>
    <row r="35" spans="1:20" ht="24.75" customHeight="1">
      <c r="A35" s="734" t="s">
        <v>573</v>
      </c>
      <c r="B35" s="735" t="s">
        <v>704</v>
      </c>
      <c r="C35" s="730">
        <f t="shared" si="11"/>
        <v>401</v>
      </c>
      <c r="D35" s="991">
        <v>137</v>
      </c>
      <c r="E35" s="991">
        <v>264</v>
      </c>
      <c r="F35" s="992">
        <v>4</v>
      </c>
      <c r="G35" s="992"/>
      <c r="H35" s="730">
        <f t="shared" si="12"/>
        <v>397</v>
      </c>
      <c r="I35" s="730">
        <f t="shared" si="13"/>
        <v>323</v>
      </c>
      <c r="J35" s="991">
        <v>198</v>
      </c>
      <c r="K35" s="991">
        <v>7</v>
      </c>
      <c r="L35" s="991">
        <v>114</v>
      </c>
      <c r="M35" s="991">
        <v>4</v>
      </c>
      <c r="N35" s="991"/>
      <c r="O35" s="991"/>
      <c r="P35" s="993">
        <v>0</v>
      </c>
      <c r="Q35" s="994">
        <v>74</v>
      </c>
      <c r="R35" s="995">
        <f t="shared" si="10"/>
        <v>192</v>
      </c>
      <c r="S35" s="741">
        <f t="shared" si="7"/>
        <v>63.46749226006192</v>
      </c>
      <c r="T35" s="883">
        <f t="shared" si="2"/>
        <v>0</v>
      </c>
    </row>
    <row r="36" spans="1:20" ht="24.75" customHeight="1" thickBot="1">
      <c r="A36" s="743" t="s">
        <v>705</v>
      </c>
      <c r="B36" s="996" t="s">
        <v>706</v>
      </c>
      <c r="C36" s="745">
        <f t="shared" si="11"/>
        <v>231</v>
      </c>
      <c r="D36" s="997">
        <v>11</v>
      </c>
      <c r="E36" s="997">
        <v>220</v>
      </c>
      <c r="F36" s="998">
        <v>18</v>
      </c>
      <c r="G36" s="998"/>
      <c r="H36" s="745">
        <f t="shared" si="12"/>
        <v>213</v>
      </c>
      <c r="I36" s="745">
        <f t="shared" si="13"/>
        <v>206</v>
      </c>
      <c r="J36" s="997">
        <v>157</v>
      </c>
      <c r="K36" s="997">
        <v>8</v>
      </c>
      <c r="L36" s="997">
        <v>41</v>
      </c>
      <c r="M36" s="997"/>
      <c r="N36" s="997"/>
      <c r="O36" s="997"/>
      <c r="P36" s="999"/>
      <c r="Q36" s="1000">
        <v>7</v>
      </c>
      <c r="R36" s="750">
        <f t="shared" si="10"/>
        <v>48</v>
      </c>
      <c r="S36" s="751">
        <f t="shared" si="7"/>
        <v>80.09708737864078</v>
      </c>
      <c r="T36" s="883">
        <f t="shared" si="2"/>
        <v>0</v>
      </c>
    </row>
    <row r="37" spans="1:20" ht="24.75" customHeight="1" thickTop="1">
      <c r="A37" s="752" t="s">
        <v>53</v>
      </c>
      <c r="B37" s="753" t="s">
        <v>707</v>
      </c>
      <c r="C37" s="754">
        <f t="shared" si="11"/>
        <v>2096</v>
      </c>
      <c r="D37" s="754">
        <f>SUM(D38:D41)</f>
        <v>845</v>
      </c>
      <c r="E37" s="754">
        <f>SUM(E38:E41)</f>
        <v>1251</v>
      </c>
      <c r="F37" s="754">
        <f>SUM(F38:F41)</f>
        <v>33</v>
      </c>
      <c r="G37" s="754">
        <f>SUM(G38:G41)</f>
        <v>14</v>
      </c>
      <c r="H37" s="754">
        <f t="shared" si="12"/>
        <v>2063</v>
      </c>
      <c r="I37" s="754">
        <f t="shared" si="13"/>
        <v>1726</v>
      </c>
      <c r="J37" s="754">
        <f>SUM(J38:J41)</f>
        <v>891</v>
      </c>
      <c r="K37" s="754">
        <f aca="true" t="shared" si="14" ref="K37:Q37">SUM(K38:K41)</f>
        <v>29</v>
      </c>
      <c r="L37" s="754">
        <f t="shared" si="14"/>
        <v>568</v>
      </c>
      <c r="M37" s="754">
        <f t="shared" si="14"/>
        <v>11</v>
      </c>
      <c r="N37" s="754">
        <f t="shared" si="14"/>
        <v>0</v>
      </c>
      <c r="O37" s="754">
        <f t="shared" si="14"/>
        <v>0</v>
      </c>
      <c r="P37" s="754">
        <f t="shared" si="14"/>
        <v>227</v>
      </c>
      <c r="Q37" s="754">
        <f t="shared" si="14"/>
        <v>337</v>
      </c>
      <c r="R37" s="755">
        <f t="shared" si="10"/>
        <v>1143</v>
      </c>
      <c r="S37" s="757">
        <f t="shared" si="7"/>
        <v>53.30243337195828</v>
      </c>
      <c r="T37" s="883">
        <f t="shared" si="2"/>
        <v>0</v>
      </c>
    </row>
    <row r="38" spans="1:20" ht="24.75" customHeight="1">
      <c r="A38" s="758">
        <v>2.1</v>
      </c>
      <c r="B38" s="1001" t="s">
        <v>708</v>
      </c>
      <c r="C38" s="730">
        <f t="shared" si="11"/>
        <v>686</v>
      </c>
      <c r="D38" s="736">
        <f>334-5</f>
        <v>329</v>
      </c>
      <c r="E38" s="736">
        <v>357</v>
      </c>
      <c r="F38" s="737">
        <v>2</v>
      </c>
      <c r="G38" s="737">
        <v>5</v>
      </c>
      <c r="H38" s="730">
        <f t="shared" si="12"/>
        <v>684</v>
      </c>
      <c r="I38" s="730">
        <f t="shared" si="13"/>
        <v>545</v>
      </c>
      <c r="J38" s="736">
        <v>216</v>
      </c>
      <c r="K38" s="736">
        <v>8</v>
      </c>
      <c r="L38" s="736">
        <v>193</v>
      </c>
      <c r="M38" s="736">
        <v>1</v>
      </c>
      <c r="N38" s="736">
        <v>0</v>
      </c>
      <c r="O38" s="736">
        <v>0</v>
      </c>
      <c r="P38" s="738">
        <v>127</v>
      </c>
      <c r="Q38" s="739">
        <v>139</v>
      </c>
      <c r="R38" s="995">
        <f t="shared" si="10"/>
        <v>460</v>
      </c>
      <c r="S38" s="741">
        <f t="shared" si="7"/>
        <v>41.10091743119266</v>
      </c>
      <c r="T38" s="883">
        <f t="shared" si="2"/>
        <v>0</v>
      </c>
    </row>
    <row r="39" spans="1:20" ht="24.75" customHeight="1">
      <c r="A39" s="758">
        <v>2.2</v>
      </c>
      <c r="B39" s="735" t="s">
        <v>709</v>
      </c>
      <c r="C39" s="730">
        <f t="shared" si="11"/>
        <v>532</v>
      </c>
      <c r="D39" s="736">
        <f>227-4</f>
        <v>223</v>
      </c>
      <c r="E39" s="736">
        <v>309</v>
      </c>
      <c r="F39" s="737">
        <v>4</v>
      </c>
      <c r="G39" s="737">
        <v>4</v>
      </c>
      <c r="H39" s="730">
        <f t="shared" si="12"/>
        <v>528</v>
      </c>
      <c r="I39" s="730">
        <f t="shared" si="13"/>
        <v>430</v>
      </c>
      <c r="J39" s="736">
        <v>229</v>
      </c>
      <c r="K39" s="736">
        <v>13</v>
      </c>
      <c r="L39" s="736">
        <v>113</v>
      </c>
      <c r="M39" s="736">
        <v>4</v>
      </c>
      <c r="N39" s="736">
        <v>0</v>
      </c>
      <c r="O39" s="736">
        <v>0</v>
      </c>
      <c r="P39" s="738">
        <v>71</v>
      </c>
      <c r="Q39" s="739">
        <v>98</v>
      </c>
      <c r="R39" s="995">
        <f t="shared" si="10"/>
        <v>286</v>
      </c>
      <c r="S39" s="741">
        <f t="shared" si="7"/>
        <v>56.27906976744186</v>
      </c>
      <c r="T39" s="883">
        <f t="shared" si="2"/>
        <v>0</v>
      </c>
    </row>
    <row r="40" spans="1:20" ht="24.75" customHeight="1">
      <c r="A40" s="758">
        <v>2.3</v>
      </c>
      <c r="B40" s="735" t="s">
        <v>710</v>
      </c>
      <c r="C40" s="730">
        <f t="shared" si="11"/>
        <v>383</v>
      </c>
      <c r="D40" s="736">
        <f>132-3</f>
        <v>129</v>
      </c>
      <c r="E40" s="736">
        <v>254</v>
      </c>
      <c r="F40" s="737">
        <v>9</v>
      </c>
      <c r="G40" s="737">
        <v>3</v>
      </c>
      <c r="H40" s="730">
        <f t="shared" si="12"/>
        <v>374</v>
      </c>
      <c r="I40" s="730">
        <f t="shared" si="13"/>
        <v>354</v>
      </c>
      <c r="J40" s="736">
        <v>241</v>
      </c>
      <c r="K40" s="736">
        <v>3</v>
      </c>
      <c r="L40" s="736">
        <v>110</v>
      </c>
      <c r="M40" s="736">
        <v>0</v>
      </c>
      <c r="N40" s="736">
        <v>0</v>
      </c>
      <c r="O40" s="736">
        <v>0</v>
      </c>
      <c r="P40" s="738">
        <v>0</v>
      </c>
      <c r="Q40" s="739">
        <v>20</v>
      </c>
      <c r="R40" s="995">
        <f t="shared" si="10"/>
        <v>130</v>
      </c>
      <c r="S40" s="741">
        <f t="shared" si="7"/>
        <v>68.92655367231639</v>
      </c>
      <c r="T40" s="883">
        <f t="shared" si="2"/>
        <v>0</v>
      </c>
    </row>
    <row r="41" spans="1:20" ht="24.75" customHeight="1" thickBot="1">
      <c r="A41" s="760">
        <v>2.4</v>
      </c>
      <c r="B41" s="1002" t="s">
        <v>711</v>
      </c>
      <c r="C41" s="745">
        <f t="shared" si="11"/>
        <v>495</v>
      </c>
      <c r="D41" s="746">
        <f>166-2</f>
        <v>164</v>
      </c>
      <c r="E41" s="746">
        <v>331</v>
      </c>
      <c r="F41" s="747">
        <v>18</v>
      </c>
      <c r="G41" s="747">
        <v>2</v>
      </c>
      <c r="H41" s="745">
        <f t="shared" si="12"/>
        <v>477</v>
      </c>
      <c r="I41" s="745">
        <f t="shared" si="13"/>
        <v>397</v>
      </c>
      <c r="J41" s="746">
        <v>205</v>
      </c>
      <c r="K41" s="746">
        <v>5</v>
      </c>
      <c r="L41" s="746">
        <v>152</v>
      </c>
      <c r="M41" s="746">
        <v>6</v>
      </c>
      <c r="N41" s="746">
        <v>0</v>
      </c>
      <c r="O41" s="746">
        <v>0</v>
      </c>
      <c r="P41" s="748">
        <v>29</v>
      </c>
      <c r="Q41" s="749">
        <v>80</v>
      </c>
      <c r="R41" s="750">
        <f t="shared" si="10"/>
        <v>267</v>
      </c>
      <c r="S41" s="751">
        <f t="shared" si="7"/>
        <v>52.896725440806044</v>
      </c>
      <c r="T41" s="883">
        <f t="shared" si="2"/>
        <v>0</v>
      </c>
    </row>
    <row r="42" spans="1:20" ht="24.75" customHeight="1" thickTop="1">
      <c r="A42" s="752" t="s">
        <v>58</v>
      </c>
      <c r="B42" s="753" t="s">
        <v>712</v>
      </c>
      <c r="C42" s="754">
        <f t="shared" si="11"/>
        <v>2293</v>
      </c>
      <c r="D42" s="754">
        <f>SUM(D43:D47)</f>
        <v>736</v>
      </c>
      <c r="E42" s="754">
        <f>SUM(E43:E47)</f>
        <v>1557</v>
      </c>
      <c r="F42" s="754">
        <f>SUM(F43:F47)</f>
        <v>10</v>
      </c>
      <c r="G42" s="754">
        <f>SUM(G43:G47)</f>
        <v>0</v>
      </c>
      <c r="H42" s="754">
        <f t="shared" si="12"/>
        <v>2283</v>
      </c>
      <c r="I42" s="754">
        <f t="shared" si="13"/>
        <v>2021</v>
      </c>
      <c r="J42" s="754">
        <f>SUM(J43:J47)</f>
        <v>1275</v>
      </c>
      <c r="K42" s="754">
        <f aca="true" t="shared" si="15" ref="K42:Q42">SUM(K43:K47)</f>
        <v>38</v>
      </c>
      <c r="L42" s="754">
        <f t="shared" si="15"/>
        <v>652</v>
      </c>
      <c r="M42" s="754">
        <f t="shared" si="15"/>
        <v>27</v>
      </c>
      <c r="N42" s="754">
        <f t="shared" si="15"/>
        <v>1</v>
      </c>
      <c r="O42" s="754">
        <f t="shared" si="15"/>
        <v>10</v>
      </c>
      <c r="P42" s="754">
        <f t="shared" si="15"/>
        <v>18</v>
      </c>
      <c r="Q42" s="754">
        <f t="shared" si="15"/>
        <v>262</v>
      </c>
      <c r="R42" s="755">
        <f t="shared" si="10"/>
        <v>970</v>
      </c>
      <c r="S42" s="756">
        <f t="shared" si="7"/>
        <v>64.96783770410688</v>
      </c>
      <c r="T42" s="883">
        <f t="shared" si="2"/>
        <v>0</v>
      </c>
    </row>
    <row r="43" spans="1:20" ht="24.75" customHeight="1">
      <c r="A43" s="758">
        <v>3.1</v>
      </c>
      <c r="B43" s="1003" t="s">
        <v>713</v>
      </c>
      <c r="C43" s="730">
        <f t="shared" si="11"/>
        <v>330</v>
      </c>
      <c r="D43" s="1004">
        <v>96</v>
      </c>
      <c r="E43" s="1004">
        <v>234</v>
      </c>
      <c r="F43" s="1005">
        <v>9</v>
      </c>
      <c r="G43" s="1005">
        <v>0</v>
      </c>
      <c r="H43" s="730">
        <f t="shared" si="12"/>
        <v>321</v>
      </c>
      <c r="I43" s="730">
        <f t="shared" si="13"/>
        <v>305</v>
      </c>
      <c r="J43" s="1004">
        <v>246</v>
      </c>
      <c r="K43" s="1004">
        <v>14</v>
      </c>
      <c r="L43" s="1004">
        <v>18</v>
      </c>
      <c r="M43" s="1004">
        <v>24</v>
      </c>
      <c r="N43" s="1004">
        <v>0</v>
      </c>
      <c r="O43" s="1004">
        <v>0</v>
      </c>
      <c r="P43" s="1004">
        <v>3</v>
      </c>
      <c r="Q43" s="754">
        <v>16</v>
      </c>
      <c r="R43" s="995">
        <f t="shared" si="10"/>
        <v>61</v>
      </c>
      <c r="S43" s="741">
        <f t="shared" si="7"/>
        <v>85.24590163934425</v>
      </c>
      <c r="T43" s="883">
        <f t="shared" si="2"/>
        <v>0</v>
      </c>
    </row>
    <row r="44" spans="1:20" ht="24.75" customHeight="1">
      <c r="A44" s="758">
        <v>3.2</v>
      </c>
      <c r="B44" s="1006" t="s">
        <v>714</v>
      </c>
      <c r="C44" s="730">
        <f t="shared" si="11"/>
        <v>479</v>
      </c>
      <c r="D44" s="1004">
        <v>160</v>
      </c>
      <c r="E44" s="1004">
        <v>319</v>
      </c>
      <c r="F44" s="1005">
        <v>0</v>
      </c>
      <c r="G44" s="1005">
        <v>0</v>
      </c>
      <c r="H44" s="730">
        <f t="shared" si="12"/>
        <v>479</v>
      </c>
      <c r="I44" s="730">
        <f t="shared" si="13"/>
        <v>442</v>
      </c>
      <c r="J44" s="1004">
        <v>270</v>
      </c>
      <c r="K44" s="1004">
        <v>7</v>
      </c>
      <c r="L44" s="1004">
        <v>164</v>
      </c>
      <c r="M44" s="1004">
        <v>0</v>
      </c>
      <c r="N44" s="1004">
        <v>1</v>
      </c>
      <c r="O44" s="1004">
        <v>0</v>
      </c>
      <c r="P44" s="1004">
        <v>0</v>
      </c>
      <c r="Q44" s="754">
        <v>37</v>
      </c>
      <c r="R44" s="995">
        <f t="shared" si="10"/>
        <v>202</v>
      </c>
      <c r="S44" s="741">
        <f t="shared" si="7"/>
        <v>62.66968325791855</v>
      </c>
      <c r="T44" s="883">
        <f t="shared" si="2"/>
        <v>0</v>
      </c>
    </row>
    <row r="45" spans="1:20" ht="24.75" customHeight="1">
      <c r="A45" s="758">
        <v>3.3</v>
      </c>
      <c r="B45" s="1006" t="s">
        <v>721</v>
      </c>
      <c r="C45" s="730">
        <f t="shared" si="11"/>
        <v>498</v>
      </c>
      <c r="D45" s="1004">
        <v>232</v>
      </c>
      <c r="E45" s="1004">
        <v>266</v>
      </c>
      <c r="F45" s="1005">
        <v>0</v>
      </c>
      <c r="G45" s="1005">
        <v>0</v>
      </c>
      <c r="H45" s="730">
        <f t="shared" si="12"/>
        <v>498</v>
      </c>
      <c r="I45" s="730">
        <f t="shared" si="13"/>
        <v>412</v>
      </c>
      <c r="J45" s="1004">
        <v>229</v>
      </c>
      <c r="K45" s="1004">
        <v>6</v>
      </c>
      <c r="L45" s="1004">
        <v>177</v>
      </c>
      <c r="M45" s="1004">
        <v>0</v>
      </c>
      <c r="N45" s="1004">
        <v>0</v>
      </c>
      <c r="O45" s="1004">
        <v>0</v>
      </c>
      <c r="P45" s="1004">
        <v>0</v>
      </c>
      <c r="Q45" s="754">
        <v>86</v>
      </c>
      <c r="R45" s="995">
        <f t="shared" si="10"/>
        <v>263</v>
      </c>
      <c r="S45" s="741">
        <f t="shared" si="7"/>
        <v>57.03883495145631</v>
      </c>
      <c r="T45" s="883">
        <f t="shared" si="2"/>
        <v>0</v>
      </c>
    </row>
    <row r="46" spans="1:20" ht="24.75" customHeight="1">
      <c r="A46" s="758">
        <v>3.4</v>
      </c>
      <c r="B46" s="1007" t="s">
        <v>716</v>
      </c>
      <c r="C46" s="730">
        <f t="shared" si="11"/>
        <v>473</v>
      </c>
      <c r="D46" s="1004">
        <v>147</v>
      </c>
      <c r="E46" s="1004">
        <v>326</v>
      </c>
      <c r="F46" s="1005">
        <v>0</v>
      </c>
      <c r="G46" s="1005">
        <v>0</v>
      </c>
      <c r="H46" s="730">
        <f t="shared" si="12"/>
        <v>473</v>
      </c>
      <c r="I46" s="730">
        <f t="shared" si="13"/>
        <v>387</v>
      </c>
      <c r="J46" s="1004">
        <v>252</v>
      </c>
      <c r="K46" s="1004">
        <v>5</v>
      </c>
      <c r="L46" s="1004">
        <v>127</v>
      </c>
      <c r="M46" s="1004">
        <v>3</v>
      </c>
      <c r="N46" s="1004">
        <v>0</v>
      </c>
      <c r="O46" s="1004">
        <v>0</v>
      </c>
      <c r="P46" s="1004">
        <v>0</v>
      </c>
      <c r="Q46" s="754">
        <v>86</v>
      </c>
      <c r="R46" s="995">
        <f t="shared" si="10"/>
        <v>216</v>
      </c>
      <c r="S46" s="741">
        <f t="shared" si="7"/>
        <v>66.40826873385012</v>
      </c>
      <c r="T46" s="883">
        <f t="shared" si="2"/>
        <v>0</v>
      </c>
    </row>
    <row r="47" spans="1:20" ht="24.75" customHeight="1" thickBot="1">
      <c r="A47" s="760">
        <v>3.5</v>
      </c>
      <c r="B47" s="1008" t="s">
        <v>717</v>
      </c>
      <c r="C47" s="745">
        <f t="shared" si="11"/>
        <v>513</v>
      </c>
      <c r="D47" s="746">
        <v>101</v>
      </c>
      <c r="E47" s="746">
        <v>412</v>
      </c>
      <c r="F47" s="747">
        <v>1</v>
      </c>
      <c r="G47" s="747">
        <v>0</v>
      </c>
      <c r="H47" s="745">
        <f t="shared" si="12"/>
        <v>512</v>
      </c>
      <c r="I47" s="745">
        <f t="shared" si="13"/>
        <v>475</v>
      </c>
      <c r="J47" s="746">
        <v>278</v>
      </c>
      <c r="K47" s="746">
        <v>6</v>
      </c>
      <c r="L47" s="746">
        <v>166</v>
      </c>
      <c r="M47" s="746">
        <v>0</v>
      </c>
      <c r="N47" s="746">
        <v>0</v>
      </c>
      <c r="O47" s="746">
        <v>10</v>
      </c>
      <c r="P47" s="746">
        <v>15</v>
      </c>
      <c r="Q47" s="745">
        <v>37</v>
      </c>
      <c r="R47" s="750">
        <f t="shared" si="10"/>
        <v>228</v>
      </c>
      <c r="S47" s="751">
        <f t="shared" si="7"/>
        <v>59.78947368421053</v>
      </c>
      <c r="T47" s="883">
        <f t="shared" si="2"/>
        <v>0</v>
      </c>
    </row>
    <row r="48" spans="1:20" ht="24.75" customHeight="1" thickTop="1">
      <c r="A48" s="752" t="s">
        <v>73</v>
      </c>
      <c r="B48" s="753" t="s">
        <v>718</v>
      </c>
      <c r="C48" s="754">
        <f t="shared" si="11"/>
        <v>991</v>
      </c>
      <c r="D48" s="754">
        <f>SUM(D49:D52)</f>
        <v>222</v>
      </c>
      <c r="E48" s="754">
        <f>SUM(E49:E52)</f>
        <v>769</v>
      </c>
      <c r="F48" s="754">
        <f>SUM(F49:F52)</f>
        <v>6</v>
      </c>
      <c r="G48" s="754">
        <f>SUM(G49:G52)</f>
        <v>2</v>
      </c>
      <c r="H48" s="754">
        <f t="shared" si="12"/>
        <v>985</v>
      </c>
      <c r="I48" s="754">
        <f t="shared" si="13"/>
        <v>884</v>
      </c>
      <c r="J48" s="754">
        <f aca="true" t="shared" si="16" ref="J48:Q48">SUM(J49:J52)</f>
        <v>565</v>
      </c>
      <c r="K48" s="754">
        <f t="shared" si="16"/>
        <v>11</v>
      </c>
      <c r="L48" s="754">
        <f t="shared" si="16"/>
        <v>294</v>
      </c>
      <c r="M48" s="754">
        <f t="shared" si="16"/>
        <v>8</v>
      </c>
      <c r="N48" s="754">
        <f t="shared" si="16"/>
        <v>0</v>
      </c>
      <c r="O48" s="754">
        <f t="shared" si="16"/>
        <v>0</v>
      </c>
      <c r="P48" s="754">
        <f t="shared" si="16"/>
        <v>6</v>
      </c>
      <c r="Q48" s="754">
        <f t="shared" si="16"/>
        <v>101</v>
      </c>
      <c r="R48" s="755">
        <f t="shared" si="10"/>
        <v>409</v>
      </c>
      <c r="S48" s="756">
        <f t="shared" si="7"/>
        <v>65.15837104072398</v>
      </c>
      <c r="T48" s="883">
        <f t="shared" si="2"/>
        <v>0</v>
      </c>
    </row>
    <row r="49" spans="1:20" ht="24.75" customHeight="1">
      <c r="A49" s="758">
        <v>4.1</v>
      </c>
      <c r="B49" s="735" t="s">
        <v>719</v>
      </c>
      <c r="C49" s="730">
        <f t="shared" si="11"/>
        <v>247</v>
      </c>
      <c r="D49" s="736">
        <v>52</v>
      </c>
      <c r="E49" s="736">
        <v>195</v>
      </c>
      <c r="F49" s="737">
        <v>0</v>
      </c>
      <c r="G49" s="737">
        <v>0</v>
      </c>
      <c r="H49" s="730">
        <f t="shared" si="12"/>
        <v>247</v>
      </c>
      <c r="I49" s="730">
        <f t="shared" si="13"/>
        <v>226</v>
      </c>
      <c r="J49" s="736">
        <v>143</v>
      </c>
      <c r="K49" s="736">
        <v>1</v>
      </c>
      <c r="L49" s="736">
        <v>78</v>
      </c>
      <c r="M49" s="736">
        <v>4</v>
      </c>
      <c r="N49" s="736">
        <v>0</v>
      </c>
      <c r="O49" s="736">
        <v>0</v>
      </c>
      <c r="P49" s="738">
        <v>0</v>
      </c>
      <c r="Q49" s="739">
        <v>21</v>
      </c>
      <c r="R49" s="995">
        <f t="shared" si="10"/>
        <v>103</v>
      </c>
      <c r="S49" s="741">
        <f t="shared" si="7"/>
        <v>63.716814159292035</v>
      </c>
      <c r="T49" s="883">
        <f t="shared" si="2"/>
        <v>0</v>
      </c>
    </row>
    <row r="50" spans="1:20" ht="24.75" customHeight="1">
      <c r="A50" s="758">
        <v>4.2</v>
      </c>
      <c r="B50" s="735" t="s">
        <v>720</v>
      </c>
      <c r="C50" s="730">
        <f t="shared" si="11"/>
        <v>274</v>
      </c>
      <c r="D50" s="736">
        <v>76</v>
      </c>
      <c r="E50" s="736">
        <v>198</v>
      </c>
      <c r="F50" s="737">
        <v>2</v>
      </c>
      <c r="G50" s="737">
        <v>0</v>
      </c>
      <c r="H50" s="730">
        <f t="shared" si="12"/>
        <v>272</v>
      </c>
      <c r="I50" s="730">
        <f t="shared" si="13"/>
        <v>239</v>
      </c>
      <c r="J50" s="736">
        <v>162</v>
      </c>
      <c r="K50" s="736">
        <v>4</v>
      </c>
      <c r="L50" s="736">
        <v>67</v>
      </c>
      <c r="M50" s="736">
        <v>0</v>
      </c>
      <c r="N50" s="736">
        <v>0</v>
      </c>
      <c r="O50" s="736">
        <v>0</v>
      </c>
      <c r="P50" s="738">
        <v>6</v>
      </c>
      <c r="Q50" s="739">
        <v>33</v>
      </c>
      <c r="R50" s="995">
        <f t="shared" si="10"/>
        <v>106</v>
      </c>
      <c r="S50" s="741">
        <f t="shared" si="7"/>
        <v>69.4560669456067</v>
      </c>
      <c r="T50" s="883">
        <f t="shared" si="2"/>
        <v>0</v>
      </c>
    </row>
    <row r="51" spans="1:20" ht="24.75" customHeight="1">
      <c r="A51" s="758">
        <v>4.3</v>
      </c>
      <c r="B51" s="735" t="s">
        <v>715</v>
      </c>
      <c r="C51" s="730">
        <f t="shared" si="11"/>
        <v>185</v>
      </c>
      <c r="D51" s="736">
        <v>30</v>
      </c>
      <c r="E51" s="736">
        <v>155</v>
      </c>
      <c r="F51" s="737">
        <v>2</v>
      </c>
      <c r="G51" s="737">
        <v>0</v>
      </c>
      <c r="H51" s="730">
        <f t="shared" si="12"/>
        <v>183</v>
      </c>
      <c r="I51" s="730">
        <f t="shared" si="13"/>
        <v>166</v>
      </c>
      <c r="J51" s="736">
        <v>101</v>
      </c>
      <c r="K51" s="736">
        <v>4</v>
      </c>
      <c r="L51" s="736">
        <v>61</v>
      </c>
      <c r="M51" s="736">
        <v>0</v>
      </c>
      <c r="N51" s="736">
        <v>0</v>
      </c>
      <c r="O51" s="736">
        <v>0</v>
      </c>
      <c r="P51" s="738">
        <v>0</v>
      </c>
      <c r="Q51" s="739">
        <v>17</v>
      </c>
      <c r="R51" s="995">
        <f t="shared" si="10"/>
        <v>78</v>
      </c>
      <c r="S51" s="741">
        <f t="shared" si="7"/>
        <v>63.25301204819277</v>
      </c>
      <c r="T51" s="883">
        <f t="shared" si="2"/>
        <v>0</v>
      </c>
    </row>
    <row r="52" spans="1:20" ht="24.75" customHeight="1" thickBot="1">
      <c r="A52" s="760">
        <v>4.4</v>
      </c>
      <c r="B52" s="744" t="s">
        <v>722</v>
      </c>
      <c r="C52" s="745">
        <f t="shared" si="11"/>
        <v>285</v>
      </c>
      <c r="D52" s="746">
        <v>64</v>
      </c>
      <c r="E52" s="746">
        <v>221</v>
      </c>
      <c r="F52" s="747">
        <v>2</v>
      </c>
      <c r="G52" s="747">
        <v>2</v>
      </c>
      <c r="H52" s="745">
        <f t="shared" si="12"/>
        <v>283</v>
      </c>
      <c r="I52" s="745">
        <f t="shared" si="13"/>
        <v>253</v>
      </c>
      <c r="J52" s="746">
        <v>159</v>
      </c>
      <c r="K52" s="746">
        <v>2</v>
      </c>
      <c r="L52" s="746">
        <v>88</v>
      </c>
      <c r="M52" s="746">
        <v>4</v>
      </c>
      <c r="N52" s="746">
        <v>0</v>
      </c>
      <c r="O52" s="746">
        <v>0</v>
      </c>
      <c r="P52" s="748">
        <v>0</v>
      </c>
      <c r="Q52" s="749">
        <v>30</v>
      </c>
      <c r="R52" s="750">
        <f t="shared" si="10"/>
        <v>122</v>
      </c>
      <c r="S52" s="751">
        <f t="shared" si="7"/>
        <v>63.63636363636363</v>
      </c>
      <c r="T52" s="883">
        <f t="shared" si="2"/>
        <v>0</v>
      </c>
    </row>
    <row r="53" spans="1:20" ht="24.75" customHeight="1" thickTop="1">
      <c r="A53" s="752" t="s">
        <v>74</v>
      </c>
      <c r="B53" s="753" t="s">
        <v>723</v>
      </c>
      <c r="C53" s="754">
        <f t="shared" si="11"/>
        <v>1542</v>
      </c>
      <c r="D53" s="754">
        <f>SUM(D54:D56)</f>
        <v>551</v>
      </c>
      <c r="E53" s="754">
        <f>SUM(E54:E56)</f>
        <v>991</v>
      </c>
      <c r="F53" s="754">
        <f>SUM(F54:F56)</f>
        <v>6</v>
      </c>
      <c r="G53" s="754">
        <f>SUM(G54:G56)</f>
        <v>0</v>
      </c>
      <c r="H53" s="754">
        <f t="shared" si="12"/>
        <v>1536</v>
      </c>
      <c r="I53" s="754">
        <f t="shared" si="13"/>
        <v>1409</v>
      </c>
      <c r="J53" s="754">
        <f>SUM(J54:J56)</f>
        <v>842</v>
      </c>
      <c r="K53" s="754">
        <f aca="true" t="shared" si="17" ref="K53:Q53">SUM(K54:K56)</f>
        <v>61</v>
      </c>
      <c r="L53" s="754">
        <f t="shared" si="17"/>
        <v>497</v>
      </c>
      <c r="M53" s="754">
        <f t="shared" si="17"/>
        <v>3</v>
      </c>
      <c r="N53" s="754">
        <f t="shared" si="17"/>
        <v>0</v>
      </c>
      <c r="O53" s="754">
        <f t="shared" si="17"/>
        <v>0</v>
      </c>
      <c r="P53" s="754">
        <f t="shared" si="17"/>
        <v>6</v>
      </c>
      <c r="Q53" s="754">
        <f t="shared" si="17"/>
        <v>127</v>
      </c>
      <c r="R53" s="755">
        <f t="shared" si="10"/>
        <v>633</v>
      </c>
      <c r="S53" s="756">
        <f t="shared" si="7"/>
        <v>64.08800567778566</v>
      </c>
      <c r="T53" s="883">
        <f t="shared" si="2"/>
        <v>0</v>
      </c>
    </row>
    <row r="54" spans="1:20" ht="24.75" customHeight="1">
      <c r="A54" s="758">
        <v>5.1</v>
      </c>
      <c r="B54" s="735" t="s">
        <v>724</v>
      </c>
      <c r="C54" s="730">
        <f t="shared" si="11"/>
        <v>543</v>
      </c>
      <c r="D54" s="736">
        <v>226</v>
      </c>
      <c r="E54" s="736">
        <v>317</v>
      </c>
      <c r="F54" s="737">
        <v>3</v>
      </c>
      <c r="G54" s="737">
        <v>0</v>
      </c>
      <c r="H54" s="730">
        <f t="shared" si="12"/>
        <v>540</v>
      </c>
      <c r="I54" s="730">
        <f t="shared" si="13"/>
        <v>489</v>
      </c>
      <c r="J54" s="736">
        <v>298</v>
      </c>
      <c r="K54" s="736">
        <v>20</v>
      </c>
      <c r="L54" s="736">
        <v>171</v>
      </c>
      <c r="M54" s="736">
        <v>0</v>
      </c>
      <c r="N54" s="736">
        <v>0</v>
      </c>
      <c r="O54" s="736">
        <v>0</v>
      </c>
      <c r="P54" s="738">
        <v>0</v>
      </c>
      <c r="Q54" s="1009">
        <v>51</v>
      </c>
      <c r="R54" s="995">
        <f t="shared" si="10"/>
        <v>222</v>
      </c>
      <c r="S54" s="741">
        <f t="shared" si="7"/>
        <v>65.03067484662577</v>
      </c>
      <c r="T54" s="883">
        <f t="shared" si="2"/>
        <v>0</v>
      </c>
    </row>
    <row r="55" spans="1:20" ht="24.75" customHeight="1">
      <c r="A55" s="758">
        <v>5.2</v>
      </c>
      <c r="B55" s="735" t="s">
        <v>725</v>
      </c>
      <c r="C55" s="730">
        <f t="shared" si="11"/>
        <v>456</v>
      </c>
      <c r="D55" s="736">
        <v>132</v>
      </c>
      <c r="E55" s="736">
        <v>324</v>
      </c>
      <c r="F55" s="737">
        <v>1</v>
      </c>
      <c r="G55" s="737">
        <v>0</v>
      </c>
      <c r="H55" s="730">
        <f t="shared" si="12"/>
        <v>455</v>
      </c>
      <c r="I55" s="730">
        <f t="shared" si="13"/>
        <v>424</v>
      </c>
      <c r="J55" s="736">
        <v>269</v>
      </c>
      <c r="K55" s="736">
        <v>20</v>
      </c>
      <c r="L55" s="736">
        <v>132</v>
      </c>
      <c r="M55" s="736">
        <v>3</v>
      </c>
      <c r="N55" s="736">
        <v>0</v>
      </c>
      <c r="O55" s="736">
        <v>0</v>
      </c>
      <c r="P55" s="738">
        <v>0</v>
      </c>
      <c r="Q55" s="1009">
        <v>31</v>
      </c>
      <c r="R55" s="995">
        <f t="shared" si="10"/>
        <v>166</v>
      </c>
      <c r="S55" s="741">
        <f t="shared" si="7"/>
        <v>68.16037735849056</v>
      </c>
      <c r="T55" s="883">
        <f t="shared" si="2"/>
        <v>0</v>
      </c>
    </row>
    <row r="56" spans="1:20" ht="24.75" customHeight="1" thickBot="1">
      <c r="A56" s="760">
        <v>5.3</v>
      </c>
      <c r="B56" s="1002" t="s">
        <v>726</v>
      </c>
      <c r="C56" s="745">
        <f t="shared" si="11"/>
        <v>543</v>
      </c>
      <c r="D56" s="746">
        <v>193</v>
      </c>
      <c r="E56" s="746">
        <v>350</v>
      </c>
      <c r="F56" s="747">
        <v>2</v>
      </c>
      <c r="G56" s="747">
        <v>0</v>
      </c>
      <c r="H56" s="745">
        <f t="shared" si="12"/>
        <v>541</v>
      </c>
      <c r="I56" s="745">
        <f t="shared" si="13"/>
        <v>496</v>
      </c>
      <c r="J56" s="746">
        <v>275</v>
      </c>
      <c r="K56" s="746">
        <v>21</v>
      </c>
      <c r="L56" s="746">
        <v>194</v>
      </c>
      <c r="M56" s="746">
        <v>0</v>
      </c>
      <c r="N56" s="746">
        <v>0</v>
      </c>
      <c r="O56" s="746">
        <v>0</v>
      </c>
      <c r="P56" s="748">
        <v>6</v>
      </c>
      <c r="Q56" s="1010">
        <v>45</v>
      </c>
      <c r="R56" s="750">
        <f t="shared" si="10"/>
        <v>245</v>
      </c>
      <c r="S56" s="751">
        <f t="shared" si="7"/>
        <v>59.67741935483871</v>
      </c>
      <c r="T56" s="883">
        <f t="shared" si="2"/>
        <v>0</v>
      </c>
    </row>
    <row r="57" spans="1:20" ht="24.75" customHeight="1" thickTop="1">
      <c r="A57" s="752" t="s">
        <v>75</v>
      </c>
      <c r="B57" s="753" t="s">
        <v>727</v>
      </c>
      <c r="C57" s="754">
        <f t="shared" si="11"/>
        <v>961</v>
      </c>
      <c r="D57" s="754">
        <f>SUM(D58:D59)</f>
        <v>227</v>
      </c>
      <c r="E57" s="754">
        <f>SUM(E58:E59)</f>
        <v>734</v>
      </c>
      <c r="F57" s="754">
        <f>SUM(F58:F59)</f>
        <v>11</v>
      </c>
      <c r="G57" s="754">
        <f>SUM(G58:G59)</f>
        <v>0</v>
      </c>
      <c r="H57" s="754">
        <f t="shared" si="12"/>
        <v>950</v>
      </c>
      <c r="I57" s="754">
        <f t="shared" si="13"/>
        <v>869</v>
      </c>
      <c r="J57" s="754">
        <f>SUM(J58:J59)</f>
        <v>557</v>
      </c>
      <c r="K57" s="754">
        <f aca="true" t="shared" si="18" ref="K57:Q57">SUM(K58:K59)</f>
        <v>9</v>
      </c>
      <c r="L57" s="754">
        <f t="shared" si="18"/>
        <v>295</v>
      </c>
      <c r="M57" s="754">
        <f t="shared" si="18"/>
        <v>7</v>
      </c>
      <c r="N57" s="754">
        <f t="shared" si="18"/>
        <v>0</v>
      </c>
      <c r="O57" s="754">
        <f t="shared" si="18"/>
        <v>0</v>
      </c>
      <c r="P57" s="754">
        <f t="shared" si="18"/>
        <v>1</v>
      </c>
      <c r="Q57" s="754">
        <f t="shared" si="18"/>
        <v>81</v>
      </c>
      <c r="R57" s="755">
        <f t="shared" si="10"/>
        <v>384</v>
      </c>
      <c r="S57" s="757">
        <f t="shared" si="7"/>
        <v>65.13233601841196</v>
      </c>
      <c r="T57" s="883">
        <f t="shared" si="2"/>
        <v>0</v>
      </c>
    </row>
    <row r="58" spans="1:20" ht="24.75" customHeight="1">
      <c r="A58" s="761">
        <v>6.1</v>
      </c>
      <c r="B58" s="1011" t="s">
        <v>728</v>
      </c>
      <c r="C58" s="730">
        <f t="shared" si="11"/>
        <v>263</v>
      </c>
      <c r="D58" s="736">
        <v>48</v>
      </c>
      <c r="E58" s="736">
        <v>215</v>
      </c>
      <c r="F58" s="737">
        <v>8</v>
      </c>
      <c r="G58" s="737">
        <v>0</v>
      </c>
      <c r="H58" s="730">
        <f t="shared" si="12"/>
        <v>255</v>
      </c>
      <c r="I58" s="730">
        <f t="shared" si="13"/>
        <v>234</v>
      </c>
      <c r="J58" s="736">
        <v>177</v>
      </c>
      <c r="K58" s="736">
        <v>1</v>
      </c>
      <c r="L58" s="736">
        <v>48</v>
      </c>
      <c r="M58" s="736">
        <v>7</v>
      </c>
      <c r="N58" s="736">
        <v>0</v>
      </c>
      <c r="O58" s="736">
        <v>0</v>
      </c>
      <c r="P58" s="738">
        <v>1</v>
      </c>
      <c r="Q58" s="1009">
        <v>21</v>
      </c>
      <c r="R58" s="995">
        <f t="shared" si="10"/>
        <v>77</v>
      </c>
      <c r="S58" s="741">
        <f t="shared" si="7"/>
        <v>76.06837606837607</v>
      </c>
      <c r="T58" s="883">
        <f t="shared" si="2"/>
        <v>0</v>
      </c>
    </row>
    <row r="59" spans="1:20" ht="24.75" customHeight="1" thickBot="1">
      <c r="A59" s="762">
        <v>6.3</v>
      </c>
      <c r="B59" s="744" t="s">
        <v>729</v>
      </c>
      <c r="C59" s="745">
        <f t="shared" si="11"/>
        <v>698</v>
      </c>
      <c r="D59" s="746">
        <v>179</v>
      </c>
      <c r="E59" s="746">
        <v>519</v>
      </c>
      <c r="F59" s="747">
        <v>3</v>
      </c>
      <c r="G59" s="747">
        <v>0</v>
      </c>
      <c r="H59" s="745">
        <f t="shared" si="12"/>
        <v>695</v>
      </c>
      <c r="I59" s="745">
        <f t="shared" si="13"/>
        <v>635</v>
      </c>
      <c r="J59" s="746">
        <v>380</v>
      </c>
      <c r="K59" s="746">
        <v>8</v>
      </c>
      <c r="L59" s="746">
        <v>247</v>
      </c>
      <c r="M59" s="746">
        <v>0</v>
      </c>
      <c r="N59" s="746">
        <v>0</v>
      </c>
      <c r="O59" s="746">
        <v>0</v>
      </c>
      <c r="P59" s="748">
        <v>0</v>
      </c>
      <c r="Q59" s="1010">
        <v>60</v>
      </c>
      <c r="R59" s="750">
        <f t="shared" si="10"/>
        <v>307</v>
      </c>
      <c r="S59" s="751">
        <f t="shared" si="7"/>
        <v>61.102362204724415</v>
      </c>
      <c r="T59" s="883">
        <f t="shared" si="2"/>
        <v>0</v>
      </c>
    </row>
    <row r="60" spans="1:20" ht="24.75" customHeight="1" thickTop="1">
      <c r="A60" s="752" t="s">
        <v>76</v>
      </c>
      <c r="B60" s="753" t="s">
        <v>730</v>
      </c>
      <c r="C60" s="754">
        <f t="shared" si="11"/>
        <v>1906</v>
      </c>
      <c r="D60" s="754">
        <f>SUM(D61:D65)</f>
        <v>797</v>
      </c>
      <c r="E60" s="754">
        <f>SUM(E61:E65)</f>
        <v>1109</v>
      </c>
      <c r="F60" s="754">
        <f>SUM(F61:F65)</f>
        <v>12</v>
      </c>
      <c r="G60" s="754">
        <f>SUM(G61:G65)</f>
        <v>8</v>
      </c>
      <c r="H60" s="754">
        <f t="shared" si="12"/>
        <v>1894</v>
      </c>
      <c r="I60" s="754">
        <f t="shared" si="13"/>
        <v>1671</v>
      </c>
      <c r="J60" s="754">
        <f>SUM(J61:J65)</f>
        <v>837</v>
      </c>
      <c r="K60" s="754">
        <f aca="true" t="shared" si="19" ref="K60:Q60">SUM(K61:K65)</f>
        <v>17</v>
      </c>
      <c r="L60" s="754">
        <f t="shared" si="19"/>
        <v>816</v>
      </c>
      <c r="M60" s="754">
        <f t="shared" si="19"/>
        <v>1</v>
      </c>
      <c r="N60" s="754">
        <f t="shared" si="19"/>
        <v>0</v>
      </c>
      <c r="O60" s="754">
        <f t="shared" si="19"/>
        <v>0</v>
      </c>
      <c r="P60" s="754">
        <f t="shared" si="19"/>
        <v>0</v>
      </c>
      <c r="Q60" s="754">
        <f t="shared" si="19"/>
        <v>223</v>
      </c>
      <c r="R60" s="755">
        <f t="shared" si="10"/>
        <v>1040</v>
      </c>
      <c r="S60" s="756">
        <f t="shared" si="7"/>
        <v>51.10712148414124</v>
      </c>
      <c r="T60" s="883">
        <f t="shared" si="2"/>
        <v>0</v>
      </c>
    </row>
    <row r="61" spans="1:20" ht="24.75" customHeight="1">
      <c r="A61" s="758">
        <v>7.1</v>
      </c>
      <c r="B61" s="735" t="s">
        <v>731</v>
      </c>
      <c r="C61" s="730">
        <f t="shared" si="11"/>
        <v>261</v>
      </c>
      <c r="D61" s="736">
        <v>133</v>
      </c>
      <c r="E61" s="736">
        <v>128</v>
      </c>
      <c r="F61" s="737">
        <v>0</v>
      </c>
      <c r="G61" s="737">
        <v>0</v>
      </c>
      <c r="H61" s="730">
        <f t="shared" si="12"/>
        <v>261</v>
      </c>
      <c r="I61" s="730">
        <f t="shared" si="13"/>
        <v>206</v>
      </c>
      <c r="J61" s="736">
        <v>110</v>
      </c>
      <c r="K61" s="736">
        <v>4</v>
      </c>
      <c r="L61" s="736">
        <v>92</v>
      </c>
      <c r="M61" s="736">
        <v>0</v>
      </c>
      <c r="N61" s="736">
        <v>0</v>
      </c>
      <c r="O61" s="736">
        <v>0</v>
      </c>
      <c r="P61" s="738">
        <v>0</v>
      </c>
      <c r="Q61" s="1009">
        <v>55</v>
      </c>
      <c r="R61" s="995">
        <f t="shared" si="10"/>
        <v>147</v>
      </c>
      <c r="S61" s="741">
        <f t="shared" si="7"/>
        <v>55.33980582524271</v>
      </c>
      <c r="T61" s="883">
        <f t="shared" si="2"/>
        <v>0</v>
      </c>
    </row>
    <row r="62" spans="1:20" ht="24.75" customHeight="1">
      <c r="A62" s="758">
        <v>7.2</v>
      </c>
      <c r="B62" s="1011" t="s">
        <v>732</v>
      </c>
      <c r="C62" s="730">
        <f t="shared" si="11"/>
        <v>417</v>
      </c>
      <c r="D62" s="736">
        <v>136</v>
      </c>
      <c r="E62" s="736">
        <v>281</v>
      </c>
      <c r="F62" s="737">
        <v>5</v>
      </c>
      <c r="G62" s="737">
        <v>2</v>
      </c>
      <c r="H62" s="730">
        <f t="shared" si="12"/>
        <v>412</v>
      </c>
      <c r="I62" s="730">
        <f t="shared" si="13"/>
        <v>393</v>
      </c>
      <c r="J62" s="736">
        <v>178</v>
      </c>
      <c r="K62" s="736">
        <v>2</v>
      </c>
      <c r="L62" s="736">
        <v>213</v>
      </c>
      <c r="M62" s="736">
        <v>0</v>
      </c>
      <c r="N62" s="736">
        <v>0</v>
      </c>
      <c r="O62" s="736">
        <v>0</v>
      </c>
      <c r="P62" s="738">
        <v>0</v>
      </c>
      <c r="Q62" s="1009">
        <v>19</v>
      </c>
      <c r="R62" s="995">
        <f t="shared" si="10"/>
        <v>232</v>
      </c>
      <c r="S62" s="741">
        <f t="shared" si="7"/>
        <v>45.80152671755725</v>
      </c>
      <c r="T62" s="883">
        <f t="shared" si="2"/>
        <v>0</v>
      </c>
    </row>
    <row r="63" spans="1:20" ht="24.75" customHeight="1">
      <c r="A63" s="758">
        <v>7.3</v>
      </c>
      <c r="B63" s="1011" t="s">
        <v>733</v>
      </c>
      <c r="C63" s="730">
        <f t="shared" si="11"/>
        <v>525</v>
      </c>
      <c r="D63" s="736">
        <v>270</v>
      </c>
      <c r="E63" s="736">
        <v>255</v>
      </c>
      <c r="F63" s="737">
        <v>3</v>
      </c>
      <c r="G63" s="737">
        <v>6</v>
      </c>
      <c r="H63" s="730">
        <f t="shared" si="12"/>
        <v>522</v>
      </c>
      <c r="I63" s="730">
        <f t="shared" si="13"/>
        <v>442</v>
      </c>
      <c r="J63" s="736">
        <v>209</v>
      </c>
      <c r="K63" s="736">
        <v>6</v>
      </c>
      <c r="L63" s="736">
        <v>226</v>
      </c>
      <c r="M63" s="736">
        <v>1</v>
      </c>
      <c r="N63" s="736">
        <v>0</v>
      </c>
      <c r="O63" s="736">
        <v>0</v>
      </c>
      <c r="P63" s="738">
        <v>0</v>
      </c>
      <c r="Q63" s="1009">
        <v>80</v>
      </c>
      <c r="R63" s="995">
        <f t="shared" si="10"/>
        <v>307</v>
      </c>
      <c r="S63" s="741">
        <f t="shared" si="7"/>
        <v>48.64253393665158</v>
      </c>
      <c r="T63" s="883">
        <f t="shared" si="2"/>
        <v>0</v>
      </c>
    </row>
    <row r="64" spans="1:20" ht="24.75" customHeight="1">
      <c r="A64" s="758">
        <v>7.4</v>
      </c>
      <c r="B64" s="735" t="s">
        <v>734</v>
      </c>
      <c r="C64" s="730">
        <f t="shared" si="11"/>
        <v>331</v>
      </c>
      <c r="D64" s="736">
        <v>130</v>
      </c>
      <c r="E64" s="736">
        <v>201</v>
      </c>
      <c r="F64" s="737">
        <v>2</v>
      </c>
      <c r="G64" s="737">
        <v>0</v>
      </c>
      <c r="H64" s="730">
        <f t="shared" si="12"/>
        <v>329</v>
      </c>
      <c r="I64" s="730">
        <f t="shared" si="13"/>
        <v>269</v>
      </c>
      <c r="J64" s="736">
        <v>147</v>
      </c>
      <c r="K64" s="736">
        <v>1</v>
      </c>
      <c r="L64" s="736">
        <v>121</v>
      </c>
      <c r="M64" s="736">
        <v>0</v>
      </c>
      <c r="N64" s="736">
        <v>0</v>
      </c>
      <c r="O64" s="736">
        <v>0</v>
      </c>
      <c r="P64" s="738">
        <v>0</v>
      </c>
      <c r="Q64" s="1009">
        <v>60</v>
      </c>
      <c r="R64" s="995">
        <f t="shared" si="10"/>
        <v>181</v>
      </c>
      <c r="S64" s="741">
        <f t="shared" si="7"/>
        <v>55.01858736059479</v>
      </c>
      <c r="T64" s="883">
        <f t="shared" si="2"/>
        <v>0</v>
      </c>
    </row>
    <row r="65" spans="1:20" ht="24.75" customHeight="1" thickBot="1">
      <c r="A65" s="760">
        <v>7.5</v>
      </c>
      <c r="B65" s="744" t="s">
        <v>735</v>
      </c>
      <c r="C65" s="745">
        <f t="shared" si="11"/>
        <v>372</v>
      </c>
      <c r="D65" s="746">
        <v>128</v>
      </c>
      <c r="E65" s="746">
        <v>244</v>
      </c>
      <c r="F65" s="747">
        <v>2</v>
      </c>
      <c r="G65" s="747">
        <v>0</v>
      </c>
      <c r="H65" s="745">
        <f t="shared" si="12"/>
        <v>370</v>
      </c>
      <c r="I65" s="745">
        <f t="shared" si="13"/>
        <v>361</v>
      </c>
      <c r="J65" s="746">
        <v>193</v>
      </c>
      <c r="K65" s="746">
        <v>4</v>
      </c>
      <c r="L65" s="746">
        <v>164</v>
      </c>
      <c r="M65" s="746">
        <v>0</v>
      </c>
      <c r="N65" s="746">
        <v>0</v>
      </c>
      <c r="O65" s="746">
        <v>0</v>
      </c>
      <c r="P65" s="748">
        <v>0</v>
      </c>
      <c r="Q65" s="1010">
        <v>9</v>
      </c>
      <c r="R65" s="750">
        <f t="shared" si="10"/>
        <v>173</v>
      </c>
      <c r="S65" s="751">
        <f t="shared" si="7"/>
        <v>54.57063711911358</v>
      </c>
      <c r="T65" s="883">
        <f t="shared" si="2"/>
        <v>0</v>
      </c>
    </row>
    <row r="66" spans="1:20" ht="24.75" customHeight="1" thickTop="1">
      <c r="A66" s="752" t="s">
        <v>77</v>
      </c>
      <c r="B66" s="753" t="s">
        <v>736</v>
      </c>
      <c r="C66" s="754">
        <f t="shared" si="11"/>
        <v>1150</v>
      </c>
      <c r="D66" s="754">
        <f>SUM(D67:D70)</f>
        <v>250</v>
      </c>
      <c r="E66" s="754">
        <f>SUM(E67:E70)</f>
        <v>900</v>
      </c>
      <c r="F66" s="754">
        <f>SUM(F67:F70)</f>
        <v>40</v>
      </c>
      <c r="G66" s="754">
        <f>SUM(G67:G70)</f>
        <v>0</v>
      </c>
      <c r="H66" s="754">
        <f t="shared" si="12"/>
        <v>1110</v>
      </c>
      <c r="I66" s="754">
        <f t="shared" si="13"/>
        <v>1039</v>
      </c>
      <c r="J66" s="754">
        <f>SUM(J67:J70)</f>
        <v>686</v>
      </c>
      <c r="K66" s="754">
        <f aca="true" t="shared" si="20" ref="K66:Q66">SUM(K67:K70)</f>
        <v>11</v>
      </c>
      <c r="L66" s="754">
        <f t="shared" si="20"/>
        <v>337</v>
      </c>
      <c r="M66" s="754">
        <f t="shared" si="20"/>
        <v>3</v>
      </c>
      <c r="N66" s="754">
        <f t="shared" si="20"/>
        <v>0</v>
      </c>
      <c r="O66" s="754">
        <f t="shared" si="20"/>
        <v>0</v>
      </c>
      <c r="P66" s="754">
        <f t="shared" si="20"/>
        <v>2</v>
      </c>
      <c r="Q66" s="754">
        <f t="shared" si="20"/>
        <v>71</v>
      </c>
      <c r="R66" s="755">
        <f t="shared" si="10"/>
        <v>413</v>
      </c>
      <c r="S66" s="756">
        <f t="shared" si="7"/>
        <v>67.0837343599615</v>
      </c>
      <c r="T66" s="883">
        <f t="shared" si="2"/>
        <v>0</v>
      </c>
    </row>
    <row r="67" spans="1:20" ht="24.75" customHeight="1">
      <c r="A67" s="758">
        <v>8.1</v>
      </c>
      <c r="B67" s="1012" t="s">
        <v>737</v>
      </c>
      <c r="C67" s="730">
        <f t="shared" si="11"/>
        <v>19</v>
      </c>
      <c r="D67" s="736">
        <v>0</v>
      </c>
      <c r="E67" s="736">
        <v>19</v>
      </c>
      <c r="F67" s="737">
        <v>8</v>
      </c>
      <c r="G67" s="737">
        <v>0</v>
      </c>
      <c r="H67" s="730">
        <f t="shared" si="12"/>
        <v>11</v>
      </c>
      <c r="I67" s="730">
        <f t="shared" si="13"/>
        <v>8</v>
      </c>
      <c r="J67" s="736">
        <v>7</v>
      </c>
      <c r="K67" s="736">
        <v>1</v>
      </c>
      <c r="L67" s="736">
        <v>0</v>
      </c>
      <c r="M67" s="736">
        <v>0</v>
      </c>
      <c r="N67" s="736">
        <v>0</v>
      </c>
      <c r="O67" s="736">
        <v>0</v>
      </c>
      <c r="P67" s="738">
        <v>0</v>
      </c>
      <c r="Q67" s="1009">
        <v>3</v>
      </c>
      <c r="R67" s="995">
        <f t="shared" si="10"/>
        <v>3</v>
      </c>
      <c r="S67" s="741">
        <f t="shared" si="7"/>
        <v>100</v>
      </c>
      <c r="T67" s="883">
        <f t="shared" si="2"/>
        <v>0</v>
      </c>
    </row>
    <row r="68" spans="1:20" ht="24.75" customHeight="1">
      <c r="A68" s="758">
        <v>8.2</v>
      </c>
      <c r="B68" s="1012" t="s">
        <v>738</v>
      </c>
      <c r="C68" s="730">
        <f t="shared" si="11"/>
        <v>358</v>
      </c>
      <c r="D68" s="736">
        <v>116</v>
      </c>
      <c r="E68" s="736">
        <v>242</v>
      </c>
      <c r="F68" s="737">
        <v>0</v>
      </c>
      <c r="G68" s="737">
        <v>0</v>
      </c>
      <c r="H68" s="730">
        <f t="shared" si="12"/>
        <v>358</v>
      </c>
      <c r="I68" s="730">
        <f t="shared" si="13"/>
        <v>328</v>
      </c>
      <c r="J68" s="736">
        <v>201</v>
      </c>
      <c r="K68" s="736">
        <v>5</v>
      </c>
      <c r="L68" s="736">
        <v>121</v>
      </c>
      <c r="M68" s="736">
        <v>1</v>
      </c>
      <c r="N68" s="736">
        <v>0</v>
      </c>
      <c r="O68" s="736">
        <v>0</v>
      </c>
      <c r="P68" s="738">
        <v>0</v>
      </c>
      <c r="Q68" s="1009">
        <v>30</v>
      </c>
      <c r="R68" s="995">
        <f t="shared" si="10"/>
        <v>152</v>
      </c>
      <c r="S68" s="741">
        <f t="shared" si="7"/>
        <v>62.80487804878049</v>
      </c>
      <c r="T68" s="883">
        <f t="shared" si="2"/>
        <v>0</v>
      </c>
    </row>
    <row r="69" spans="1:20" ht="24.75" customHeight="1">
      <c r="A69" s="758">
        <v>8.3</v>
      </c>
      <c r="B69" s="1013" t="s">
        <v>739</v>
      </c>
      <c r="C69" s="730">
        <f t="shared" si="11"/>
        <v>364</v>
      </c>
      <c r="D69" s="736">
        <v>79</v>
      </c>
      <c r="E69" s="736">
        <v>285</v>
      </c>
      <c r="F69" s="737">
        <v>25</v>
      </c>
      <c r="G69" s="737">
        <v>0</v>
      </c>
      <c r="H69" s="730">
        <f t="shared" si="12"/>
        <v>339</v>
      </c>
      <c r="I69" s="730">
        <f t="shared" si="13"/>
        <v>321</v>
      </c>
      <c r="J69" s="736">
        <v>228</v>
      </c>
      <c r="K69" s="736">
        <v>1</v>
      </c>
      <c r="L69" s="736">
        <v>90</v>
      </c>
      <c r="M69" s="736">
        <v>2</v>
      </c>
      <c r="N69" s="736">
        <v>0</v>
      </c>
      <c r="O69" s="736">
        <v>0</v>
      </c>
      <c r="P69" s="738">
        <v>0</v>
      </c>
      <c r="Q69" s="1009">
        <v>18</v>
      </c>
      <c r="R69" s="995">
        <f t="shared" si="10"/>
        <v>110</v>
      </c>
      <c r="S69" s="741">
        <f t="shared" si="7"/>
        <v>71.33956386292834</v>
      </c>
      <c r="T69" s="883">
        <f t="shared" si="2"/>
        <v>0</v>
      </c>
    </row>
    <row r="70" spans="1:20" ht="24.75" customHeight="1" thickBot="1">
      <c r="A70" s="760">
        <v>8.4</v>
      </c>
      <c r="B70" s="1008" t="s">
        <v>740</v>
      </c>
      <c r="C70" s="745">
        <f t="shared" si="11"/>
        <v>409</v>
      </c>
      <c r="D70" s="746">
        <v>55</v>
      </c>
      <c r="E70" s="746">
        <v>354</v>
      </c>
      <c r="F70" s="747">
        <v>7</v>
      </c>
      <c r="G70" s="747">
        <v>0</v>
      </c>
      <c r="H70" s="745">
        <f t="shared" si="12"/>
        <v>402</v>
      </c>
      <c r="I70" s="745">
        <f t="shared" si="13"/>
        <v>382</v>
      </c>
      <c r="J70" s="746">
        <v>250</v>
      </c>
      <c r="K70" s="746">
        <v>4</v>
      </c>
      <c r="L70" s="746">
        <v>126</v>
      </c>
      <c r="M70" s="746">
        <v>0</v>
      </c>
      <c r="N70" s="746">
        <v>0</v>
      </c>
      <c r="O70" s="746">
        <v>0</v>
      </c>
      <c r="P70" s="748">
        <v>2</v>
      </c>
      <c r="Q70" s="1010">
        <v>20</v>
      </c>
      <c r="R70" s="750">
        <f t="shared" si="10"/>
        <v>148</v>
      </c>
      <c r="S70" s="751">
        <f t="shared" si="7"/>
        <v>66.49214659685863</v>
      </c>
      <c r="T70" s="883">
        <f t="shared" si="2"/>
        <v>0</v>
      </c>
    </row>
    <row r="71" spans="1:20" ht="24.75" customHeight="1" thickTop="1">
      <c r="A71" s="752" t="s">
        <v>78</v>
      </c>
      <c r="B71" s="753" t="s">
        <v>741</v>
      </c>
      <c r="C71" s="754">
        <f t="shared" si="11"/>
        <v>1268</v>
      </c>
      <c r="D71" s="754">
        <f>SUM(D72:D74)</f>
        <v>466</v>
      </c>
      <c r="E71" s="754">
        <f>SUM(E72:E74)</f>
        <v>802</v>
      </c>
      <c r="F71" s="754">
        <f>SUM(F72:F74)</f>
        <v>25</v>
      </c>
      <c r="G71" s="754">
        <f>SUM(G72:G74)</f>
        <v>0</v>
      </c>
      <c r="H71" s="754">
        <f t="shared" si="12"/>
        <v>1243</v>
      </c>
      <c r="I71" s="754">
        <f t="shared" si="13"/>
        <v>1069</v>
      </c>
      <c r="J71" s="754">
        <f>SUM(J72:J74)</f>
        <v>680</v>
      </c>
      <c r="K71" s="754">
        <f aca="true" t="shared" si="21" ref="K71:Q71">SUM(K72:K74)</f>
        <v>13</v>
      </c>
      <c r="L71" s="754">
        <f t="shared" si="21"/>
        <v>371</v>
      </c>
      <c r="M71" s="754">
        <f t="shared" si="21"/>
        <v>5</v>
      </c>
      <c r="N71" s="754">
        <f t="shared" si="21"/>
        <v>0</v>
      </c>
      <c r="O71" s="754">
        <f t="shared" si="21"/>
        <v>0</v>
      </c>
      <c r="P71" s="754">
        <f t="shared" si="21"/>
        <v>0</v>
      </c>
      <c r="Q71" s="754">
        <f t="shared" si="21"/>
        <v>174</v>
      </c>
      <c r="R71" s="755">
        <f t="shared" si="10"/>
        <v>550</v>
      </c>
      <c r="S71" s="756">
        <f t="shared" si="7"/>
        <v>64.8269410664172</v>
      </c>
      <c r="T71" s="883">
        <f t="shared" si="2"/>
        <v>0</v>
      </c>
    </row>
    <row r="72" spans="1:20" ht="24.75" customHeight="1">
      <c r="A72" s="758">
        <v>9.1</v>
      </c>
      <c r="B72" s="735" t="s">
        <v>742</v>
      </c>
      <c r="C72" s="730">
        <f t="shared" si="11"/>
        <v>235</v>
      </c>
      <c r="D72" s="736">
        <v>101</v>
      </c>
      <c r="E72" s="736">
        <v>134</v>
      </c>
      <c r="F72" s="737">
        <v>5</v>
      </c>
      <c r="G72" s="737">
        <v>0</v>
      </c>
      <c r="H72" s="730">
        <f t="shared" si="12"/>
        <v>230</v>
      </c>
      <c r="I72" s="730">
        <f t="shared" si="13"/>
        <v>204</v>
      </c>
      <c r="J72" s="736">
        <v>150</v>
      </c>
      <c r="K72" s="736">
        <v>4</v>
      </c>
      <c r="L72" s="736">
        <v>49</v>
      </c>
      <c r="M72" s="736">
        <v>1</v>
      </c>
      <c r="N72" s="736">
        <v>0</v>
      </c>
      <c r="O72" s="736">
        <v>0</v>
      </c>
      <c r="P72" s="738">
        <v>0</v>
      </c>
      <c r="Q72" s="1009">
        <v>26</v>
      </c>
      <c r="R72" s="740">
        <f t="shared" si="10"/>
        <v>76</v>
      </c>
      <c r="S72" s="741">
        <f t="shared" si="7"/>
        <v>75.49019607843137</v>
      </c>
      <c r="T72" s="883">
        <f t="shared" si="2"/>
        <v>0</v>
      </c>
    </row>
    <row r="73" spans="1:20" ht="24.75" customHeight="1">
      <c r="A73" s="763">
        <v>9.2</v>
      </c>
      <c r="B73" s="735" t="s">
        <v>743</v>
      </c>
      <c r="C73" s="730">
        <f t="shared" si="11"/>
        <v>779</v>
      </c>
      <c r="D73" s="1014">
        <v>276</v>
      </c>
      <c r="E73" s="1014">
        <v>503</v>
      </c>
      <c r="F73" s="1015">
        <v>8</v>
      </c>
      <c r="G73" s="1015">
        <v>0</v>
      </c>
      <c r="H73" s="730">
        <f t="shared" si="12"/>
        <v>771</v>
      </c>
      <c r="I73" s="730">
        <f t="shared" si="13"/>
        <v>660</v>
      </c>
      <c r="J73" s="1014">
        <v>388</v>
      </c>
      <c r="K73" s="1014">
        <v>6</v>
      </c>
      <c r="L73" s="1014">
        <v>265</v>
      </c>
      <c r="M73" s="1014">
        <v>1</v>
      </c>
      <c r="N73" s="1014">
        <v>0</v>
      </c>
      <c r="O73" s="1014">
        <v>0</v>
      </c>
      <c r="P73" s="1016">
        <v>0</v>
      </c>
      <c r="Q73" s="1017">
        <v>111</v>
      </c>
      <c r="R73" s="995">
        <f t="shared" si="10"/>
        <v>377</v>
      </c>
      <c r="S73" s="741">
        <f t="shared" si="7"/>
        <v>59.696969696969695</v>
      </c>
      <c r="T73" s="883">
        <f t="shared" si="2"/>
        <v>0</v>
      </c>
    </row>
    <row r="74" spans="1:20" ht="24.75" customHeight="1" thickBot="1">
      <c r="A74" s="760">
        <v>9.3</v>
      </c>
      <c r="B74" s="996" t="s">
        <v>744</v>
      </c>
      <c r="C74" s="745">
        <f t="shared" si="11"/>
        <v>254</v>
      </c>
      <c r="D74" s="746">
        <v>89</v>
      </c>
      <c r="E74" s="746">
        <v>165</v>
      </c>
      <c r="F74" s="747">
        <v>12</v>
      </c>
      <c r="G74" s="747">
        <v>0</v>
      </c>
      <c r="H74" s="745">
        <f t="shared" si="12"/>
        <v>242</v>
      </c>
      <c r="I74" s="745">
        <f t="shared" si="13"/>
        <v>205</v>
      </c>
      <c r="J74" s="746">
        <v>142</v>
      </c>
      <c r="K74" s="746">
        <v>3</v>
      </c>
      <c r="L74" s="746">
        <v>57</v>
      </c>
      <c r="M74" s="746">
        <v>3</v>
      </c>
      <c r="N74" s="746">
        <v>0</v>
      </c>
      <c r="O74" s="746">
        <v>0</v>
      </c>
      <c r="P74" s="748">
        <v>0</v>
      </c>
      <c r="Q74" s="1010">
        <v>37</v>
      </c>
      <c r="R74" s="750">
        <f t="shared" si="10"/>
        <v>97</v>
      </c>
      <c r="S74" s="751">
        <f t="shared" si="7"/>
        <v>70.73170731707317</v>
      </c>
      <c r="T74" s="883">
        <f t="shared" si="2"/>
        <v>0</v>
      </c>
    </row>
    <row r="75" spans="1:20" ht="24.75" customHeight="1" thickTop="1">
      <c r="A75" s="752" t="s">
        <v>101</v>
      </c>
      <c r="B75" s="753" t="s">
        <v>745</v>
      </c>
      <c r="C75" s="754">
        <f t="shared" si="11"/>
        <v>161</v>
      </c>
      <c r="D75" s="754">
        <f aca="true" t="shared" si="22" ref="D75:Q75">D76+D77</f>
        <v>68</v>
      </c>
      <c r="E75" s="754">
        <f t="shared" si="22"/>
        <v>93</v>
      </c>
      <c r="F75" s="754">
        <f t="shared" si="22"/>
        <v>1</v>
      </c>
      <c r="G75" s="754">
        <f t="shared" si="22"/>
        <v>0</v>
      </c>
      <c r="H75" s="754">
        <f t="shared" si="12"/>
        <v>160</v>
      </c>
      <c r="I75" s="754">
        <f t="shared" si="13"/>
        <v>136</v>
      </c>
      <c r="J75" s="754">
        <f t="shared" si="22"/>
        <v>93</v>
      </c>
      <c r="K75" s="754">
        <f t="shared" si="22"/>
        <v>3</v>
      </c>
      <c r="L75" s="754">
        <f t="shared" si="22"/>
        <v>39</v>
      </c>
      <c r="M75" s="754">
        <f t="shared" si="22"/>
        <v>1</v>
      </c>
      <c r="N75" s="754">
        <f t="shared" si="22"/>
        <v>0</v>
      </c>
      <c r="O75" s="754">
        <f t="shared" si="22"/>
        <v>0</v>
      </c>
      <c r="P75" s="754">
        <f t="shared" si="22"/>
        <v>0</v>
      </c>
      <c r="Q75" s="754">
        <f t="shared" si="22"/>
        <v>24</v>
      </c>
      <c r="R75" s="755">
        <f t="shared" si="10"/>
        <v>64</v>
      </c>
      <c r="S75" s="756">
        <f t="shared" si="7"/>
        <v>70.58823529411765</v>
      </c>
      <c r="T75" s="883">
        <f>Q75+I75+F75-C75</f>
        <v>0</v>
      </c>
    </row>
    <row r="76" spans="1:20" ht="24.75" customHeight="1">
      <c r="A76" s="764">
        <v>10.1</v>
      </c>
      <c r="B76" s="735" t="s">
        <v>746</v>
      </c>
      <c r="C76" s="730">
        <f t="shared" si="11"/>
        <v>63</v>
      </c>
      <c r="D76" s="736">
        <v>17</v>
      </c>
      <c r="E76" s="736">
        <v>46</v>
      </c>
      <c r="F76" s="737">
        <v>1</v>
      </c>
      <c r="G76" s="737">
        <v>0</v>
      </c>
      <c r="H76" s="730">
        <f t="shared" si="12"/>
        <v>62</v>
      </c>
      <c r="I76" s="730">
        <f t="shared" si="13"/>
        <v>56</v>
      </c>
      <c r="J76" s="736">
        <v>47</v>
      </c>
      <c r="K76" s="736">
        <v>0</v>
      </c>
      <c r="L76" s="736">
        <v>9</v>
      </c>
      <c r="M76" s="736">
        <v>0</v>
      </c>
      <c r="N76" s="736">
        <v>0</v>
      </c>
      <c r="O76" s="736">
        <v>0</v>
      </c>
      <c r="P76" s="738">
        <v>0</v>
      </c>
      <c r="Q76" s="1009">
        <v>6</v>
      </c>
      <c r="R76" s="995">
        <f t="shared" si="10"/>
        <v>15</v>
      </c>
      <c r="S76" s="741">
        <f t="shared" si="7"/>
        <v>83.92857142857143</v>
      </c>
      <c r="T76" s="883">
        <f>Q76+I76+F76-C76</f>
        <v>0</v>
      </c>
    </row>
    <row r="77" spans="1:20" ht="24.75" customHeight="1" thickBot="1">
      <c r="A77" s="765">
        <v>10.2</v>
      </c>
      <c r="B77" s="744" t="s">
        <v>747</v>
      </c>
      <c r="C77" s="745">
        <f t="shared" si="11"/>
        <v>98</v>
      </c>
      <c r="D77" s="746">
        <v>51</v>
      </c>
      <c r="E77" s="746">
        <v>47</v>
      </c>
      <c r="F77" s="747">
        <v>0</v>
      </c>
      <c r="G77" s="747">
        <v>0</v>
      </c>
      <c r="H77" s="745">
        <f t="shared" si="12"/>
        <v>98</v>
      </c>
      <c r="I77" s="745">
        <f t="shared" si="13"/>
        <v>80</v>
      </c>
      <c r="J77" s="746">
        <v>46</v>
      </c>
      <c r="K77" s="746">
        <v>3</v>
      </c>
      <c r="L77" s="746">
        <v>30</v>
      </c>
      <c r="M77" s="746">
        <v>1</v>
      </c>
      <c r="N77" s="746">
        <v>0</v>
      </c>
      <c r="O77" s="746">
        <v>0</v>
      </c>
      <c r="P77" s="748">
        <v>0</v>
      </c>
      <c r="Q77" s="1010">
        <v>18</v>
      </c>
      <c r="R77" s="750">
        <f t="shared" si="10"/>
        <v>49</v>
      </c>
      <c r="S77" s="751">
        <f t="shared" si="7"/>
        <v>61.25000000000001</v>
      </c>
      <c r="T77" s="883">
        <f>Q77+I77+F77-C77</f>
        <v>0</v>
      </c>
    </row>
    <row r="78" spans="1:19" s="409" customFormat="1" ht="18.75" customHeight="1" thickTop="1">
      <c r="A78" s="1586"/>
      <c r="B78" s="1586"/>
      <c r="C78" s="1586"/>
      <c r="D78" s="1586"/>
      <c r="E78" s="1586"/>
      <c r="F78" s="1018"/>
      <c r="G78" s="1018"/>
      <c r="H78" s="1018"/>
      <c r="I78" s="1018"/>
      <c r="J78" s="1018"/>
      <c r="K78" s="1018"/>
      <c r="L78" s="1018"/>
      <c r="M78" s="1018"/>
      <c r="N78" s="1591" t="str">
        <f>'Thong tin'!B9</f>
        <v>Bình Thuận, ngày 04 tháng 8 năm 2016</v>
      </c>
      <c r="O78" s="1591"/>
      <c r="P78" s="1591"/>
      <c r="Q78" s="1591"/>
      <c r="R78" s="1591"/>
      <c r="S78" s="1591"/>
    </row>
    <row r="79" spans="1:19" s="410" customFormat="1" ht="19.5" customHeight="1">
      <c r="A79" s="1019"/>
      <c r="B79" s="1562" t="s">
        <v>4</v>
      </c>
      <c r="C79" s="1562"/>
      <c r="D79" s="1562"/>
      <c r="E79" s="1562"/>
      <c r="F79" s="957"/>
      <c r="G79" s="957"/>
      <c r="H79" s="957"/>
      <c r="I79" s="957"/>
      <c r="J79" s="957"/>
      <c r="K79" s="957"/>
      <c r="L79" s="957"/>
      <c r="M79" s="957"/>
      <c r="N79" s="1510" t="str">
        <f>'Thong tin'!B7</f>
        <v>KT. CỤC TRƯỞNG</v>
      </c>
      <c r="O79" s="1510"/>
      <c r="P79" s="1510"/>
      <c r="Q79" s="1510"/>
      <c r="R79" s="1510"/>
      <c r="S79" s="1510"/>
    </row>
    <row r="80" spans="1:19" ht="16.5">
      <c r="A80" s="955"/>
      <c r="B80" s="1530"/>
      <c r="C80" s="1530"/>
      <c r="D80" s="1530"/>
      <c r="E80" s="939"/>
      <c r="F80" s="939"/>
      <c r="G80" s="939"/>
      <c r="H80" s="939"/>
      <c r="I80" s="939"/>
      <c r="J80" s="939"/>
      <c r="K80" s="939"/>
      <c r="L80" s="939"/>
      <c r="M80" s="939"/>
      <c r="N80" s="1526" t="str">
        <f>'Thong tin'!B8</f>
        <v>PHÓ CỤC TRƯỞNG</v>
      </c>
      <c r="O80" s="1526"/>
      <c r="P80" s="1526"/>
      <c r="Q80" s="1526"/>
      <c r="R80" s="1526"/>
      <c r="S80" s="1526"/>
    </row>
    <row r="81" spans="1:19" ht="16.5">
      <c r="A81" s="955"/>
      <c r="B81" s="955"/>
      <c r="C81" s="955"/>
      <c r="D81" s="939"/>
      <c r="E81" s="939"/>
      <c r="F81" s="939"/>
      <c r="G81" s="939"/>
      <c r="H81" s="939"/>
      <c r="I81" s="939"/>
      <c r="J81" s="939"/>
      <c r="K81" s="939"/>
      <c r="L81" s="939"/>
      <c r="M81" s="939"/>
      <c r="N81" s="939"/>
      <c r="O81" s="939"/>
      <c r="P81" s="939"/>
      <c r="Q81" s="939"/>
      <c r="R81" s="955"/>
      <c r="S81" s="955"/>
    </row>
    <row r="82" spans="1:19" ht="16.5">
      <c r="A82" s="955"/>
      <c r="B82" s="1581"/>
      <c r="C82" s="1581"/>
      <c r="D82" s="1581"/>
      <c r="E82" s="1581"/>
      <c r="F82" s="939"/>
      <c r="G82" s="939"/>
      <c r="H82" s="939"/>
      <c r="I82" s="939"/>
      <c r="J82" s="939"/>
      <c r="K82" s="939"/>
      <c r="L82" s="939"/>
      <c r="M82" s="939"/>
      <c r="N82" s="939"/>
      <c r="O82" s="939"/>
      <c r="P82" s="1581"/>
      <c r="Q82" s="1581"/>
      <c r="R82" s="1581"/>
      <c r="S82" s="955"/>
    </row>
    <row r="83" spans="1:19" ht="16.5">
      <c r="A83" s="958"/>
      <c r="B83" s="958"/>
      <c r="C83" s="958"/>
      <c r="D83" s="958"/>
      <c r="E83" s="958"/>
      <c r="F83" s="958"/>
      <c r="G83" s="958"/>
      <c r="H83" s="958"/>
      <c r="I83" s="958"/>
      <c r="J83" s="958"/>
      <c r="K83" s="958"/>
      <c r="L83" s="958"/>
      <c r="M83" s="958"/>
      <c r="N83" s="958"/>
      <c r="O83" s="958"/>
      <c r="P83" s="958"/>
      <c r="Q83" s="955"/>
      <c r="R83" s="955"/>
      <c r="S83" s="955"/>
    </row>
    <row r="84" spans="1:19" ht="16.5">
      <c r="A84" s="955"/>
      <c r="B84" s="955"/>
      <c r="C84" s="955"/>
      <c r="D84" s="955"/>
      <c r="E84" s="955"/>
      <c r="F84" s="955"/>
      <c r="G84" s="955"/>
      <c r="H84" s="955"/>
      <c r="I84" s="955"/>
      <c r="J84" s="955"/>
      <c r="K84" s="955"/>
      <c r="L84" s="955"/>
      <c r="M84" s="955"/>
      <c r="N84" s="955"/>
      <c r="O84" s="955"/>
      <c r="P84" s="955"/>
      <c r="Q84" s="955"/>
      <c r="R84" s="955"/>
      <c r="S84" s="955"/>
    </row>
    <row r="85" spans="1:19" ht="16.5">
      <c r="A85" s="955"/>
      <c r="B85" s="1526" t="str">
        <f>'Thong tin'!B5</f>
        <v>Trần Quốc Bảo</v>
      </c>
      <c r="C85" s="1526"/>
      <c r="D85" s="1526"/>
      <c r="E85" s="1526"/>
      <c r="F85" s="955"/>
      <c r="G85" s="955"/>
      <c r="H85" s="955"/>
      <c r="I85" s="955"/>
      <c r="J85" s="955"/>
      <c r="K85" s="955"/>
      <c r="L85" s="955"/>
      <c r="M85" s="955"/>
      <c r="N85" s="1526" t="str">
        <f>'Thong tin'!B6</f>
        <v>Trần Nam</v>
      </c>
      <c r="O85" s="1526"/>
      <c r="P85" s="1526"/>
      <c r="Q85" s="1526"/>
      <c r="R85" s="1526"/>
      <c r="S85" s="1526"/>
    </row>
    <row r="86" spans="1:19" ht="18.75">
      <c r="A86" s="455"/>
      <c r="B86" s="455"/>
      <c r="C86" s="455"/>
      <c r="D86" s="455"/>
      <c r="E86" s="455"/>
      <c r="F86" s="455"/>
      <c r="G86" s="455"/>
      <c r="H86" s="455"/>
      <c r="I86" s="455"/>
      <c r="J86" s="455"/>
      <c r="K86" s="455"/>
      <c r="L86" s="455"/>
      <c r="M86" s="455"/>
      <c r="N86" s="455"/>
      <c r="O86" s="455"/>
      <c r="P86" s="455"/>
      <c r="Q86" s="455"/>
      <c r="R86" s="455"/>
      <c r="S86" s="455"/>
    </row>
  </sheetData>
  <sheetProtection/>
  <mergeCells count="35">
    <mergeCell ref="E1:O1"/>
    <mergeCell ref="E2:O2"/>
    <mergeCell ref="E3:O3"/>
    <mergeCell ref="F6:F9"/>
    <mergeCell ref="G6:G9"/>
    <mergeCell ref="H6:Q6"/>
    <mergeCell ref="C6:E6"/>
    <mergeCell ref="A2:D2"/>
    <mergeCell ref="P2:S2"/>
    <mergeCell ref="A3:D3"/>
    <mergeCell ref="R6:R9"/>
    <mergeCell ref="E8:E9"/>
    <mergeCell ref="J8:P8"/>
    <mergeCell ref="N79:S79"/>
    <mergeCell ref="N78:S78"/>
    <mergeCell ref="P4:S4"/>
    <mergeCell ref="A6:B9"/>
    <mergeCell ref="H7:H9"/>
    <mergeCell ref="Q7:Q9"/>
    <mergeCell ref="I8:I9"/>
    <mergeCell ref="S6:S9"/>
    <mergeCell ref="I7:P7"/>
    <mergeCell ref="C7:C9"/>
    <mergeCell ref="D7:E7"/>
    <mergeCell ref="D8:D9"/>
    <mergeCell ref="A10:B10"/>
    <mergeCell ref="B79:E79"/>
    <mergeCell ref="A11:B11"/>
    <mergeCell ref="A78:E78"/>
    <mergeCell ref="N85:S85"/>
    <mergeCell ref="N80:S80"/>
    <mergeCell ref="B80:D80"/>
    <mergeCell ref="B85:E85"/>
    <mergeCell ref="B82:E82"/>
    <mergeCell ref="P82:R82"/>
  </mergeCells>
  <printOptions/>
  <pageMargins left="0.25" right="0" top="0" bottom="0" header="0.183070866" footer="0.025590551"/>
  <pageSetup horizontalDpi="600" verticalDpi="600" orientation="landscape" paperSize="9" scale="88" r:id="rId2"/>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J87"/>
  <sheetViews>
    <sheetView showZeros="0" tabSelected="1" view="pageBreakPreview" zoomScale="95" zoomScaleNormal="85" zoomScaleSheetLayoutView="95" zoomScalePageLayoutView="0" workbookViewId="0" topLeftCell="B7">
      <selection activeCell="D41" sqref="D41"/>
    </sheetView>
  </sheetViews>
  <sheetFormatPr defaultColWidth="9.00390625" defaultRowHeight="15.75"/>
  <cols>
    <col min="1" max="1" width="3.50390625" style="421" customWidth="1"/>
    <col min="2" max="2" width="21.00390625" style="421" customWidth="1"/>
    <col min="3" max="3" width="10.125" style="421" customWidth="1"/>
    <col min="4" max="4" width="9.375" style="421" customWidth="1"/>
    <col min="5" max="5" width="8.875" style="421" customWidth="1"/>
    <col min="6" max="6" width="7.375" style="421" customWidth="1"/>
    <col min="7" max="7" width="9.125" style="421" customWidth="1"/>
    <col min="8" max="8" width="9.375" style="421" customWidth="1"/>
    <col min="9" max="9" width="10.25390625" style="421" customWidth="1"/>
    <col min="10" max="10" width="8.625" style="421" customWidth="1"/>
    <col min="11" max="11" width="7.375" style="421" customWidth="1"/>
    <col min="12" max="12" width="5.875" style="421" customWidth="1"/>
    <col min="13" max="13" width="10.00390625" style="421" customWidth="1"/>
    <col min="14" max="14" width="7.50390625" style="421" customWidth="1"/>
    <col min="15" max="15" width="7.875" style="421" customWidth="1"/>
    <col min="16" max="16" width="6.75390625" style="421" customWidth="1"/>
    <col min="17" max="17" width="8.625" style="421" customWidth="1"/>
    <col min="18" max="18" width="7.875" style="421" customWidth="1"/>
    <col min="19" max="19" width="10.875" style="421" customWidth="1"/>
    <col min="20" max="20" width="6.75390625" style="421" customWidth="1"/>
    <col min="21" max="21" width="12.375" style="421" customWidth="1"/>
    <col min="22" max="16384" width="9.00390625" style="421" customWidth="1"/>
  </cols>
  <sheetData>
    <row r="1" spans="1:20" s="438" customFormat="1" ht="20.25" customHeight="1">
      <c r="A1" s="493" t="s">
        <v>35</v>
      </c>
      <c r="B1" s="493"/>
      <c r="C1" s="493"/>
      <c r="D1" s="490"/>
      <c r="E1" s="1592" t="s">
        <v>762</v>
      </c>
      <c r="F1" s="1592"/>
      <c r="G1" s="1592"/>
      <c r="H1" s="1592"/>
      <c r="I1" s="1592"/>
      <c r="J1" s="1592"/>
      <c r="K1" s="1592"/>
      <c r="L1" s="1592"/>
      <c r="M1" s="1592"/>
      <c r="N1" s="1592"/>
      <c r="O1" s="1592"/>
      <c r="P1" s="1592"/>
      <c r="Q1" s="511" t="s">
        <v>578</v>
      </c>
      <c r="R1" s="482"/>
      <c r="S1" s="482"/>
      <c r="T1" s="482"/>
    </row>
    <row r="2" spans="1:20" ht="17.25" customHeight="1">
      <c r="A2" s="1601" t="s">
        <v>342</v>
      </c>
      <c r="B2" s="1601"/>
      <c r="C2" s="1601"/>
      <c r="D2" s="1601"/>
      <c r="E2" s="1593" t="s">
        <v>42</v>
      </c>
      <c r="F2" s="1593"/>
      <c r="G2" s="1593"/>
      <c r="H2" s="1593"/>
      <c r="I2" s="1593"/>
      <c r="J2" s="1593"/>
      <c r="K2" s="1593"/>
      <c r="L2" s="1593"/>
      <c r="M2" s="1593"/>
      <c r="N2" s="1593"/>
      <c r="O2" s="1593"/>
      <c r="P2" s="1593"/>
      <c r="Q2" s="1602" t="str">
        <f>'Thong tin'!B4</f>
        <v>Cục THADS tỉnh Bình Thuận</v>
      </c>
      <c r="R2" s="1602"/>
      <c r="S2" s="1602"/>
      <c r="T2" s="1602"/>
    </row>
    <row r="3" spans="1:20" s="438" customFormat="1" ht="18" customHeight="1">
      <c r="A3" s="1607" t="s">
        <v>343</v>
      </c>
      <c r="B3" s="1607"/>
      <c r="C3" s="1607"/>
      <c r="D3" s="1607"/>
      <c r="E3" s="1594" t="str">
        <f>'Thong tin'!B3</f>
        <v>10 tháng / năm 2016</v>
      </c>
      <c r="F3" s="1594"/>
      <c r="G3" s="1594"/>
      <c r="H3" s="1594"/>
      <c r="I3" s="1594"/>
      <c r="J3" s="1594"/>
      <c r="K3" s="1594"/>
      <c r="L3" s="1594"/>
      <c r="M3" s="1594"/>
      <c r="N3" s="1594"/>
      <c r="O3" s="1594"/>
      <c r="P3" s="1594"/>
      <c r="Q3" s="511" t="s">
        <v>468</v>
      </c>
      <c r="R3" s="491"/>
      <c r="S3" s="482"/>
      <c r="T3" s="482"/>
    </row>
    <row r="4" spans="1:20" ht="14.25" customHeight="1">
      <c r="A4" s="492" t="s">
        <v>217</v>
      </c>
      <c r="B4" s="456"/>
      <c r="C4" s="456"/>
      <c r="D4" s="456"/>
      <c r="E4" s="456"/>
      <c r="F4" s="456"/>
      <c r="G4" s="456"/>
      <c r="H4" s="456"/>
      <c r="I4" s="456"/>
      <c r="J4" s="456"/>
      <c r="K4" s="456"/>
      <c r="L4" s="456"/>
      <c r="M4" s="456"/>
      <c r="N4" s="456"/>
      <c r="O4" s="497"/>
      <c r="P4" s="497"/>
      <c r="Q4" s="1603" t="s">
        <v>410</v>
      </c>
      <c r="R4" s="1603"/>
      <c r="S4" s="1603"/>
      <c r="T4" s="1603"/>
    </row>
    <row r="5" spans="1:20" s="438" customFormat="1" ht="21.75" customHeight="1" thickBot="1">
      <c r="A5" s="421"/>
      <c r="B5" s="24"/>
      <c r="C5" s="24"/>
      <c r="D5" s="421"/>
      <c r="E5" s="421"/>
      <c r="F5" s="421"/>
      <c r="G5" s="421"/>
      <c r="H5" s="421"/>
      <c r="I5" s="421"/>
      <c r="J5" s="421"/>
      <c r="K5" s="421"/>
      <c r="L5" s="421"/>
      <c r="M5" s="421"/>
      <c r="N5" s="421"/>
      <c r="O5" s="421"/>
      <c r="P5" s="421"/>
      <c r="Q5" s="1600" t="s">
        <v>579</v>
      </c>
      <c r="R5" s="1600"/>
      <c r="S5" s="1600"/>
      <c r="T5" s="1600"/>
    </row>
    <row r="6" spans="1:36" s="438" customFormat="1" ht="18.75" customHeight="1" thickTop="1">
      <c r="A6" s="1609" t="s">
        <v>72</v>
      </c>
      <c r="B6" s="1610"/>
      <c r="C6" s="1606" t="s">
        <v>218</v>
      </c>
      <c r="D6" s="1606"/>
      <c r="E6" s="1606"/>
      <c r="F6" s="1598" t="s">
        <v>134</v>
      </c>
      <c r="G6" s="1598" t="s">
        <v>219</v>
      </c>
      <c r="H6" s="1599" t="s">
        <v>137</v>
      </c>
      <c r="I6" s="1599"/>
      <c r="J6" s="1599"/>
      <c r="K6" s="1599"/>
      <c r="L6" s="1599"/>
      <c r="M6" s="1599"/>
      <c r="N6" s="1599"/>
      <c r="O6" s="1599"/>
      <c r="P6" s="1599"/>
      <c r="Q6" s="1599"/>
      <c r="R6" s="1599"/>
      <c r="S6" s="1606" t="s">
        <v>352</v>
      </c>
      <c r="T6" s="1604" t="s">
        <v>577</v>
      </c>
      <c r="U6" s="440"/>
      <c r="V6" s="440"/>
      <c r="W6" s="440"/>
      <c r="X6" s="440"/>
      <c r="Y6" s="440"/>
      <c r="Z6" s="440"/>
      <c r="AA6" s="440"/>
      <c r="AB6" s="440"/>
      <c r="AC6" s="440"/>
      <c r="AD6" s="440"/>
      <c r="AE6" s="440"/>
      <c r="AF6" s="440"/>
      <c r="AG6" s="440"/>
      <c r="AH6" s="440"/>
      <c r="AI6" s="440"/>
      <c r="AJ6" s="440"/>
    </row>
    <row r="7" spans="1:36" s="498" customFormat="1" ht="21" customHeight="1">
      <c r="A7" s="1611"/>
      <c r="B7" s="1531"/>
      <c r="C7" s="1589" t="s">
        <v>51</v>
      </c>
      <c r="D7" s="1590" t="s">
        <v>7</v>
      </c>
      <c r="E7" s="1590"/>
      <c r="F7" s="1588"/>
      <c r="G7" s="1588"/>
      <c r="H7" s="1588" t="s">
        <v>137</v>
      </c>
      <c r="I7" s="1589" t="s">
        <v>138</v>
      </c>
      <c r="J7" s="1589"/>
      <c r="K7" s="1589"/>
      <c r="L7" s="1589"/>
      <c r="M7" s="1589"/>
      <c r="N7" s="1589"/>
      <c r="O7" s="1589"/>
      <c r="P7" s="1589"/>
      <c r="Q7" s="1589"/>
      <c r="R7" s="1588" t="s">
        <v>220</v>
      </c>
      <c r="S7" s="1589"/>
      <c r="T7" s="1605"/>
      <c r="U7" s="482"/>
      <c r="V7" s="482"/>
      <c r="W7" s="482"/>
      <c r="X7" s="482"/>
      <c r="Y7" s="482"/>
      <c r="Z7" s="482"/>
      <c r="AA7" s="482"/>
      <c r="AB7" s="482"/>
      <c r="AC7" s="482"/>
      <c r="AD7" s="482"/>
      <c r="AE7" s="482"/>
      <c r="AF7" s="482"/>
      <c r="AG7" s="482"/>
      <c r="AH7" s="482"/>
      <c r="AI7" s="482"/>
      <c r="AJ7" s="482"/>
    </row>
    <row r="8" spans="1:36" s="438" customFormat="1" ht="21.75" customHeight="1">
      <c r="A8" s="1611"/>
      <c r="B8" s="1531"/>
      <c r="C8" s="1589"/>
      <c r="D8" s="1590" t="s">
        <v>221</v>
      </c>
      <c r="E8" s="1590" t="s">
        <v>222</v>
      </c>
      <c r="F8" s="1588"/>
      <c r="G8" s="1588"/>
      <c r="H8" s="1588"/>
      <c r="I8" s="1588" t="s">
        <v>576</v>
      </c>
      <c r="J8" s="1590" t="s">
        <v>7</v>
      </c>
      <c r="K8" s="1590"/>
      <c r="L8" s="1590"/>
      <c r="M8" s="1590"/>
      <c r="N8" s="1590"/>
      <c r="O8" s="1590"/>
      <c r="P8" s="1590"/>
      <c r="Q8" s="1590"/>
      <c r="R8" s="1588"/>
      <c r="S8" s="1589"/>
      <c r="T8" s="1605"/>
      <c r="U8" s="440"/>
      <c r="V8" s="440"/>
      <c r="W8" s="440"/>
      <c r="X8" s="440"/>
      <c r="Y8" s="440"/>
      <c r="Z8" s="440"/>
      <c r="AA8" s="440"/>
      <c r="AB8" s="440"/>
      <c r="AC8" s="440"/>
      <c r="AD8" s="440"/>
      <c r="AE8" s="440"/>
      <c r="AF8" s="440"/>
      <c r="AG8" s="440"/>
      <c r="AH8" s="440"/>
      <c r="AI8" s="440"/>
      <c r="AJ8" s="440"/>
    </row>
    <row r="9" spans="1:36" s="438" customFormat="1" ht="71.25" customHeight="1">
      <c r="A9" s="1611"/>
      <c r="B9" s="1531"/>
      <c r="C9" s="1589"/>
      <c r="D9" s="1590"/>
      <c r="E9" s="1590"/>
      <c r="F9" s="1588"/>
      <c r="G9" s="1588"/>
      <c r="H9" s="1588"/>
      <c r="I9" s="1588"/>
      <c r="J9" s="486" t="s">
        <v>223</v>
      </c>
      <c r="K9" s="486" t="s">
        <v>224</v>
      </c>
      <c r="L9" s="486" t="s">
        <v>202</v>
      </c>
      <c r="M9" s="487" t="s">
        <v>142</v>
      </c>
      <c r="N9" s="487" t="s">
        <v>225</v>
      </c>
      <c r="O9" s="487" t="s">
        <v>146</v>
      </c>
      <c r="P9" s="487" t="s">
        <v>353</v>
      </c>
      <c r="Q9" s="487" t="s">
        <v>150</v>
      </c>
      <c r="R9" s="1588"/>
      <c r="S9" s="1589"/>
      <c r="T9" s="1605"/>
      <c r="U9" s="440"/>
      <c r="V9" s="440"/>
      <c r="W9" s="440"/>
      <c r="X9" s="440"/>
      <c r="Y9" s="440"/>
      <c r="Z9" s="440"/>
      <c r="AA9" s="440"/>
      <c r="AB9" s="440"/>
      <c r="AC9" s="440"/>
      <c r="AD9" s="440"/>
      <c r="AE9" s="440"/>
      <c r="AF9" s="440"/>
      <c r="AG9" s="440"/>
      <c r="AH9" s="440"/>
      <c r="AI9" s="440"/>
      <c r="AJ9" s="440"/>
    </row>
    <row r="10" spans="1:20" s="438" customFormat="1" ht="17.25" customHeight="1">
      <c r="A10" s="1612" t="s">
        <v>6</v>
      </c>
      <c r="B10" s="1613"/>
      <c r="C10" s="494">
        <v>1</v>
      </c>
      <c r="D10" s="494">
        <v>2</v>
      </c>
      <c r="E10" s="494">
        <v>3</v>
      </c>
      <c r="F10" s="494">
        <v>4</v>
      </c>
      <c r="G10" s="494">
        <v>5</v>
      </c>
      <c r="H10" s="494">
        <v>6</v>
      </c>
      <c r="I10" s="494">
        <v>7</v>
      </c>
      <c r="J10" s="494">
        <v>8</v>
      </c>
      <c r="K10" s="494">
        <v>9</v>
      </c>
      <c r="L10" s="494" t="s">
        <v>101</v>
      </c>
      <c r="M10" s="494" t="s">
        <v>102</v>
      </c>
      <c r="N10" s="494" t="s">
        <v>103</v>
      </c>
      <c r="O10" s="494" t="s">
        <v>104</v>
      </c>
      <c r="P10" s="494" t="s">
        <v>105</v>
      </c>
      <c r="Q10" s="494" t="s">
        <v>355</v>
      </c>
      <c r="R10" s="494" t="s">
        <v>356</v>
      </c>
      <c r="S10" s="494" t="s">
        <v>357</v>
      </c>
      <c r="T10" s="495" t="s">
        <v>358</v>
      </c>
    </row>
    <row r="11" spans="1:21" s="438" customFormat="1" ht="24" customHeight="1">
      <c r="A11" s="1584" t="s">
        <v>37</v>
      </c>
      <c r="B11" s="1585"/>
      <c r="C11" s="837">
        <f>C12+C25</f>
        <v>1316346519</v>
      </c>
      <c r="D11" s="837">
        <f aca="true" t="shared" si="0" ref="D11:R11">D12+D25</f>
        <v>840613123</v>
      </c>
      <c r="E11" s="837">
        <f t="shared" si="0"/>
        <v>475733396</v>
      </c>
      <c r="F11" s="837">
        <f t="shared" si="0"/>
        <v>17206978</v>
      </c>
      <c r="G11" s="837">
        <f t="shared" si="0"/>
        <v>143638192</v>
      </c>
      <c r="H11" s="837">
        <f t="shared" si="0"/>
        <v>1299139541</v>
      </c>
      <c r="I11" s="837">
        <f t="shared" si="0"/>
        <v>1054362177</v>
      </c>
      <c r="J11" s="837">
        <f t="shared" si="0"/>
        <v>111256951</v>
      </c>
      <c r="K11" s="837">
        <f t="shared" si="0"/>
        <v>178856897</v>
      </c>
      <c r="L11" s="837">
        <f t="shared" si="0"/>
        <v>8790</v>
      </c>
      <c r="M11" s="837">
        <f t="shared" si="0"/>
        <v>585422962</v>
      </c>
      <c r="N11" s="837">
        <f t="shared" si="0"/>
        <v>30681976</v>
      </c>
      <c r="O11" s="837">
        <f t="shared" si="0"/>
        <v>2882784</v>
      </c>
      <c r="P11" s="837">
        <f t="shared" si="0"/>
        <v>1812316</v>
      </c>
      <c r="Q11" s="837">
        <f t="shared" si="0"/>
        <v>143439501</v>
      </c>
      <c r="R11" s="837">
        <f t="shared" si="0"/>
        <v>244777364</v>
      </c>
      <c r="S11" s="837">
        <f>R11+Q11+P11+O11+N11+M11</f>
        <v>1009016903</v>
      </c>
      <c r="T11" s="838">
        <f>(J11+K11+L11)/I11*100</f>
        <v>27.516411753833236</v>
      </c>
      <c r="U11" s="884">
        <f>R11+I11+F11-C11</f>
        <v>0</v>
      </c>
    </row>
    <row r="12" spans="1:21" s="438" customFormat="1" ht="24" customHeight="1">
      <c r="A12" s="732" t="s">
        <v>0</v>
      </c>
      <c r="B12" s="839" t="s">
        <v>98</v>
      </c>
      <c r="C12" s="837">
        <f>SUM(C13:C24)</f>
        <v>241872412</v>
      </c>
      <c r="D12" s="837">
        <f aca="true" t="shared" si="1" ref="D12:R12">SUM(D13:D24)</f>
        <v>88752762</v>
      </c>
      <c r="E12" s="837">
        <f t="shared" si="1"/>
        <v>153119650</v>
      </c>
      <c r="F12" s="837">
        <f t="shared" si="1"/>
        <v>488054</v>
      </c>
      <c r="G12" s="837">
        <f t="shared" si="1"/>
        <v>0</v>
      </c>
      <c r="H12" s="837">
        <f t="shared" si="1"/>
        <v>241384358</v>
      </c>
      <c r="I12" s="837">
        <f t="shared" si="1"/>
        <v>169996156</v>
      </c>
      <c r="J12" s="837">
        <f t="shared" si="1"/>
        <v>10246520</v>
      </c>
      <c r="K12" s="837">
        <f t="shared" si="1"/>
        <v>3710114</v>
      </c>
      <c r="L12" s="837">
        <f t="shared" si="1"/>
        <v>0</v>
      </c>
      <c r="M12" s="837">
        <f t="shared" si="1"/>
        <v>135647584</v>
      </c>
      <c r="N12" s="837">
        <f t="shared" si="1"/>
        <v>16294237</v>
      </c>
      <c r="O12" s="837">
        <f t="shared" si="1"/>
        <v>1059602</v>
      </c>
      <c r="P12" s="837">
        <f t="shared" si="1"/>
        <v>0</v>
      </c>
      <c r="Q12" s="837">
        <f t="shared" si="1"/>
        <v>3038099</v>
      </c>
      <c r="R12" s="837">
        <f t="shared" si="1"/>
        <v>71388202</v>
      </c>
      <c r="S12" s="840">
        <f>R12+Q12+P12+O12+N12+M12</f>
        <v>227427724</v>
      </c>
      <c r="T12" s="841">
        <f>(J12+K12+L12)/I12*100</f>
        <v>8.2099703478001</v>
      </c>
      <c r="U12" s="884">
        <f aca="true" t="shared" si="2" ref="U12:U75">R12+I12+F12-C12</f>
        <v>0</v>
      </c>
    </row>
    <row r="13" spans="1:21" s="438" customFormat="1" ht="23.25" customHeight="1">
      <c r="A13" s="734" t="s">
        <v>52</v>
      </c>
      <c r="B13" s="1021" t="s">
        <v>682</v>
      </c>
      <c r="C13" s="837">
        <f>D13+E13</f>
        <v>8042</v>
      </c>
      <c r="D13" s="1022">
        <v>0</v>
      </c>
      <c r="E13" s="1022">
        <v>8042</v>
      </c>
      <c r="F13" s="1023">
        <v>0</v>
      </c>
      <c r="G13" s="1023">
        <v>0</v>
      </c>
      <c r="H13" s="837">
        <f>I13+R13</f>
        <v>8042</v>
      </c>
      <c r="I13" s="837">
        <f>J13+K13+L13+M13+N13+O13+P13+Q13</f>
        <v>8042</v>
      </c>
      <c r="J13" s="1022">
        <v>8042</v>
      </c>
      <c r="K13" s="1022">
        <v>0</v>
      </c>
      <c r="L13" s="1022">
        <v>0</v>
      </c>
      <c r="M13" s="1022">
        <v>0</v>
      </c>
      <c r="N13" s="1022">
        <v>0</v>
      </c>
      <c r="O13" s="1022">
        <v>0</v>
      </c>
      <c r="P13" s="1022">
        <v>0</v>
      </c>
      <c r="Q13" s="1024">
        <v>0</v>
      </c>
      <c r="R13" s="1025">
        <v>0</v>
      </c>
      <c r="S13" s="1026">
        <f>M13+N13+O13+P13+Q13+R13</f>
        <v>0</v>
      </c>
      <c r="T13" s="1027">
        <f>(J13+K13+L13)/I13*100</f>
        <v>100</v>
      </c>
      <c r="U13" s="884">
        <f t="shared" si="2"/>
        <v>0</v>
      </c>
    </row>
    <row r="14" spans="1:21" s="438" customFormat="1" ht="24" customHeight="1">
      <c r="A14" s="734" t="s">
        <v>759</v>
      </c>
      <c r="B14" s="1021" t="s">
        <v>684</v>
      </c>
      <c r="C14" s="837">
        <f>D14+E14</f>
        <v>24100639</v>
      </c>
      <c r="D14" s="1022">
        <v>141608</v>
      </c>
      <c r="E14" s="1022">
        <v>23959031</v>
      </c>
      <c r="F14" s="1023">
        <v>0</v>
      </c>
      <c r="G14" s="1023">
        <v>0</v>
      </c>
      <c r="H14" s="837">
        <f>I14+R14</f>
        <v>24100639</v>
      </c>
      <c r="I14" s="837">
        <f>J14+K14+L14+M14+N14+O14+P14+Q14</f>
        <v>22384731</v>
      </c>
      <c r="J14" s="1022">
        <v>3198904</v>
      </c>
      <c r="K14" s="1022">
        <v>0</v>
      </c>
      <c r="L14" s="1022">
        <v>0</v>
      </c>
      <c r="M14" s="1022">
        <v>16009426</v>
      </c>
      <c r="N14" s="1022">
        <v>3176401</v>
      </c>
      <c r="O14" s="1022">
        <v>0</v>
      </c>
      <c r="P14" s="1022">
        <v>0</v>
      </c>
      <c r="Q14" s="1024">
        <v>0</v>
      </c>
      <c r="R14" s="1025">
        <v>1715908</v>
      </c>
      <c r="S14" s="1026">
        <f aca="true" t="shared" si="3" ref="S14:S24">M14+N14+O14+P14+Q14+R14</f>
        <v>20901735</v>
      </c>
      <c r="T14" s="1027">
        <f aca="true" t="shared" si="4" ref="T14:T76">(J14+K14+L14)/I14*100</f>
        <v>14.290562616097555</v>
      </c>
      <c r="U14" s="884">
        <f t="shared" si="2"/>
        <v>0</v>
      </c>
    </row>
    <row r="15" spans="1:21" s="438" customFormat="1" ht="24" customHeight="1">
      <c r="A15" s="734" t="s">
        <v>58</v>
      </c>
      <c r="B15" s="1021" t="s">
        <v>685</v>
      </c>
      <c r="C15" s="837">
        <f>D15+E15</f>
        <v>22327413</v>
      </c>
      <c r="D15" s="1022">
        <v>0</v>
      </c>
      <c r="E15" s="1022">
        <v>22327413</v>
      </c>
      <c r="F15" s="1023">
        <v>0</v>
      </c>
      <c r="G15" s="1023">
        <v>0</v>
      </c>
      <c r="H15" s="837">
        <f>I15+R15</f>
        <v>22327413</v>
      </c>
      <c r="I15" s="837">
        <f>J15+K15+L15+M15+N15+O15+P15+Q15</f>
        <v>22327413</v>
      </c>
      <c r="J15" s="1022">
        <v>22401</v>
      </c>
      <c r="K15" s="1022">
        <v>0</v>
      </c>
      <c r="L15" s="1022">
        <v>0</v>
      </c>
      <c r="M15" s="1022">
        <v>22305012</v>
      </c>
      <c r="N15" s="1022">
        <v>0</v>
      </c>
      <c r="O15" s="1022">
        <v>0</v>
      </c>
      <c r="P15" s="1022">
        <v>0</v>
      </c>
      <c r="Q15" s="1024">
        <v>0</v>
      </c>
      <c r="R15" s="1025">
        <v>0</v>
      </c>
      <c r="S15" s="1026">
        <f t="shared" si="3"/>
        <v>22305012</v>
      </c>
      <c r="T15" s="1027">
        <f t="shared" si="4"/>
        <v>0.10032958139843608</v>
      </c>
      <c r="U15" s="884">
        <f t="shared" si="2"/>
        <v>0</v>
      </c>
    </row>
    <row r="16" spans="1:21" s="438" customFormat="1" ht="23.25" customHeight="1">
      <c r="A16" s="734" t="s">
        <v>73</v>
      </c>
      <c r="B16" s="1021" t="s">
        <v>686</v>
      </c>
      <c r="C16" s="837">
        <f aca="true" t="shared" si="5" ref="C16:C24">D16+E16</f>
        <v>87516737</v>
      </c>
      <c r="D16" s="1022">
        <v>13876478</v>
      </c>
      <c r="E16" s="1022">
        <f>73089532+550727</f>
        <v>73640259</v>
      </c>
      <c r="F16" s="1023">
        <v>14060</v>
      </c>
      <c r="G16" s="1023">
        <v>0</v>
      </c>
      <c r="H16" s="837">
        <f aca="true" t="shared" si="6" ref="H16:H24">I16+R16</f>
        <v>87502677</v>
      </c>
      <c r="I16" s="837">
        <f aca="true" t="shared" si="7" ref="I16:I24">J16+K16+L16+M16+N16+O16+P16+Q16</f>
        <v>32759736</v>
      </c>
      <c r="J16" s="1022">
        <v>720019</v>
      </c>
      <c r="K16" s="1022">
        <v>958321</v>
      </c>
      <c r="L16" s="1022">
        <v>0</v>
      </c>
      <c r="M16" s="1022">
        <v>31081396</v>
      </c>
      <c r="N16" s="1022">
        <v>0</v>
      </c>
      <c r="O16" s="1022">
        <v>0</v>
      </c>
      <c r="P16" s="1022">
        <v>0</v>
      </c>
      <c r="Q16" s="1024">
        <v>0</v>
      </c>
      <c r="R16" s="1025">
        <v>54742941</v>
      </c>
      <c r="S16" s="1026">
        <f t="shared" si="3"/>
        <v>85824337</v>
      </c>
      <c r="T16" s="1027">
        <f t="shared" si="4"/>
        <v>5.123179258831634</v>
      </c>
      <c r="U16" s="884">
        <f t="shared" si="2"/>
        <v>0</v>
      </c>
    </row>
    <row r="17" spans="1:21" s="438" customFormat="1" ht="21.75" customHeight="1">
      <c r="A17" s="734" t="s">
        <v>74</v>
      </c>
      <c r="B17" s="1021" t="s">
        <v>687</v>
      </c>
      <c r="C17" s="837">
        <f t="shared" si="5"/>
        <v>12276246</v>
      </c>
      <c r="D17" s="1022">
        <v>9854353</v>
      </c>
      <c r="E17" s="1022">
        <v>2421893</v>
      </c>
      <c r="F17" s="1023">
        <v>114040</v>
      </c>
      <c r="G17" s="1023">
        <v>0</v>
      </c>
      <c r="H17" s="837">
        <f t="shared" si="6"/>
        <v>12162206</v>
      </c>
      <c r="I17" s="837">
        <f t="shared" si="7"/>
        <v>4966938</v>
      </c>
      <c r="J17" s="1022">
        <v>1475226</v>
      </c>
      <c r="K17" s="1022">
        <v>2000</v>
      </c>
      <c r="L17" s="1022">
        <v>0</v>
      </c>
      <c r="M17" s="1022">
        <v>533975</v>
      </c>
      <c r="N17" s="1022">
        <v>20755</v>
      </c>
      <c r="O17" s="1022">
        <v>0</v>
      </c>
      <c r="P17" s="1022">
        <v>0</v>
      </c>
      <c r="Q17" s="1024">
        <v>2934982</v>
      </c>
      <c r="R17" s="1025">
        <v>7195268</v>
      </c>
      <c r="S17" s="1026">
        <f t="shared" si="3"/>
        <v>10684980</v>
      </c>
      <c r="T17" s="1027">
        <f t="shared" si="4"/>
        <v>29.74118058248362</v>
      </c>
      <c r="U17" s="884">
        <f t="shared" si="2"/>
        <v>0</v>
      </c>
    </row>
    <row r="18" spans="1:21" s="438" customFormat="1" ht="21.75" customHeight="1">
      <c r="A18" s="734" t="s">
        <v>75</v>
      </c>
      <c r="B18" s="1021" t="s">
        <v>688</v>
      </c>
      <c r="C18" s="837">
        <f t="shared" si="5"/>
        <v>5811379</v>
      </c>
      <c r="D18" s="1022">
        <v>5640229</v>
      </c>
      <c r="E18" s="1022">
        <v>171150</v>
      </c>
      <c r="F18" s="1023">
        <v>37600</v>
      </c>
      <c r="G18" s="1023">
        <v>0</v>
      </c>
      <c r="H18" s="837">
        <f t="shared" si="6"/>
        <v>5773779</v>
      </c>
      <c r="I18" s="837">
        <f t="shared" si="7"/>
        <v>391741</v>
      </c>
      <c r="J18" s="1022">
        <v>136004</v>
      </c>
      <c r="K18" s="1022">
        <v>0</v>
      </c>
      <c r="L18" s="1022">
        <v>0</v>
      </c>
      <c r="M18" s="1022">
        <v>255737</v>
      </c>
      <c r="N18" s="1022">
        <v>0</v>
      </c>
      <c r="O18" s="1022">
        <v>0</v>
      </c>
      <c r="P18" s="1022">
        <v>0</v>
      </c>
      <c r="Q18" s="1024">
        <v>0</v>
      </c>
      <c r="R18" s="1025">
        <v>5382038</v>
      </c>
      <c r="S18" s="1026">
        <f t="shared" si="3"/>
        <v>5637775</v>
      </c>
      <c r="T18" s="1027">
        <f t="shared" si="4"/>
        <v>34.71783652974797</v>
      </c>
      <c r="U18" s="884">
        <f t="shared" si="2"/>
        <v>0</v>
      </c>
    </row>
    <row r="19" spans="1:21" s="438" customFormat="1" ht="23.25" customHeight="1">
      <c r="A19" s="734" t="s">
        <v>76</v>
      </c>
      <c r="B19" s="1021" t="s">
        <v>689</v>
      </c>
      <c r="C19" s="837">
        <f t="shared" si="5"/>
        <v>22362005</v>
      </c>
      <c r="D19" s="1022">
        <v>12467004</v>
      </c>
      <c r="E19" s="1022">
        <v>9895001</v>
      </c>
      <c r="F19" s="1023">
        <v>167400</v>
      </c>
      <c r="G19" s="1023">
        <v>0</v>
      </c>
      <c r="H19" s="837">
        <f t="shared" si="6"/>
        <v>22194605</v>
      </c>
      <c r="I19" s="837">
        <f t="shared" si="7"/>
        <v>21847159</v>
      </c>
      <c r="J19" s="1022">
        <v>1994694</v>
      </c>
      <c r="K19" s="1022">
        <v>676514</v>
      </c>
      <c r="L19" s="1022">
        <v>0</v>
      </c>
      <c r="M19" s="1022">
        <v>15183730</v>
      </c>
      <c r="N19" s="1022">
        <v>2932619</v>
      </c>
      <c r="O19" s="1022">
        <v>1059602</v>
      </c>
      <c r="P19" s="1022">
        <v>0</v>
      </c>
      <c r="Q19" s="1024">
        <v>0</v>
      </c>
      <c r="R19" s="1025">
        <v>347446</v>
      </c>
      <c r="S19" s="1026">
        <f t="shared" si="3"/>
        <v>19523397</v>
      </c>
      <c r="T19" s="1027">
        <f t="shared" si="4"/>
        <v>12.226798001515895</v>
      </c>
      <c r="U19" s="884">
        <f t="shared" si="2"/>
        <v>0</v>
      </c>
    </row>
    <row r="20" spans="1:21" s="438" customFormat="1" ht="23.25" customHeight="1">
      <c r="A20" s="734" t="s">
        <v>77</v>
      </c>
      <c r="B20" s="1028" t="s">
        <v>690</v>
      </c>
      <c r="C20" s="837">
        <f t="shared" si="5"/>
        <v>28094103</v>
      </c>
      <c r="D20" s="1022">
        <v>18776656</v>
      </c>
      <c r="E20" s="1022">
        <v>9317447</v>
      </c>
      <c r="F20" s="1023">
        <v>0</v>
      </c>
      <c r="G20" s="1023">
        <v>0</v>
      </c>
      <c r="H20" s="837">
        <f t="shared" si="6"/>
        <v>28094103</v>
      </c>
      <c r="I20" s="837">
        <f t="shared" si="7"/>
        <v>27972710</v>
      </c>
      <c r="J20" s="1022">
        <v>25600</v>
      </c>
      <c r="K20" s="1022">
        <v>92000</v>
      </c>
      <c r="L20" s="1022">
        <v>0</v>
      </c>
      <c r="M20" s="1022">
        <v>27772412</v>
      </c>
      <c r="N20" s="1022">
        <v>82698</v>
      </c>
      <c r="O20" s="1022">
        <v>0</v>
      </c>
      <c r="P20" s="1022">
        <v>0</v>
      </c>
      <c r="Q20" s="1024">
        <v>0</v>
      </c>
      <c r="R20" s="1025">
        <v>121393</v>
      </c>
      <c r="S20" s="1026">
        <f t="shared" si="3"/>
        <v>27976503</v>
      </c>
      <c r="T20" s="1027">
        <f t="shared" si="4"/>
        <v>0.4204097493592862</v>
      </c>
      <c r="U20" s="884">
        <f t="shared" si="2"/>
        <v>0</v>
      </c>
    </row>
    <row r="21" spans="1:21" s="438" customFormat="1" ht="24.75" customHeight="1">
      <c r="A21" s="734" t="s">
        <v>78</v>
      </c>
      <c r="B21" s="1028" t="s">
        <v>691</v>
      </c>
      <c r="C21" s="837">
        <f t="shared" si="5"/>
        <v>2786361</v>
      </c>
      <c r="D21" s="1022">
        <v>2487724</v>
      </c>
      <c r="E21" s="1022">
        <v>298637</v>
      </c>
      <c r="F21" s="1023">
        <v>100000</v>
      </c>
      <c r="G21" s="1023">
        <v>0</v>
      </c>
      <c r="H21" s="837">
        <f t="shared" si="6"/>
        <v>2686361</v>
      </c>
      <c r="I21" s="837">
        <f t="shared" si="7"/>
        <v>2103803</v>
      </c>
      <c r="J21" s="1022">
        <v>1302027</v>
      </c>
      <c r="K21" s="1022">
        <v>38000</v>
      </c>
      <c r="L21" s="1022">
        <v>0</v>
      </c>
      <c r="M21" s="1022">
        <v>763776</v>
      </c>
      <c r="N21" s="1022">
        <v>0</v>
      </c>
      <c r="O21" s="1022">
        <v>0</v>
      </c>
      <c r="P21" s="1022">
        <v>0</v>
      </c>
      <c r="Q21" s="1024">
        <v>0</v>
      </c>
      <c r="R21" s="1025">
        <v>582558</v>
      </c>
      <c r="S21" s="1026">
        <f t="shared" si="3"/>
        <v>1346334</v>
      </c>
      <c r="T21" s="1027">
        <f t="shared" si="4"/>
        <v>63.695460078724096</v>
      </c>
      <c r="U21" s="884">
        <f t="shared" si="2"/>
        <v>0</v>
      </c>
    </row>
    <row r="22" spans="1:21" ht="24.75" customHeight="1">
      <c r="A22" s="734" t="s">
        <v>101</v>
      </c>
      <c r="B22" s="1021" t="s">
        <v>692</v>
      </c>
      <c r="C22" s="837">
        <f t="shared" si="5"/>
        <v>14886606</v>
      </c>
      <c r="D22" s="1022">
        <v>14035424</v>
      </c>
      <c r="E22" s="1022">
        <v>851182</v>
      </c>
      <c r="F22" s="1023">
        <v>3650</v>
      </c>
      <c r="G22" s="1023">
        <v>0</v>
      </c>
      <c r="H22" s="837">
        <f t="shared" si="6"/>
        <v>14882956</v>
      </c>
      <c r="I22" s="837">
        <f t="shared" si="7"/>
        <v>14612142</v>
      </c>
      <c r="J22" s="1022">
        <v>671137</v>
      </c>
      <c r="K22" s="1022">
        <v>0</v>
      </c>
      <c r="L22" s="1022">
        <v>0</v>
      </c>
      <c r="M22" s="1022">
        <v>4379097</v>
      </c>
      <c r="N22" s="1022">
        <v>9458791</v>
      </c>
      <c r="O22" s="1022">
        <v>0</v>
      </c>
      <c r="P22" s="1022">
        <v>0</v>
      </c>
      <c r="Q22" s="1024">
        <v>103117</v>
      </c>
      <c r="R22" s="1025">
        <v>270814</v>
      </c>
      <c r="S22" s="1026">
        <f t="shared" si="3"/>
        <v>14211819</v>
      </c>
      <c r="T22" s="1027">
        <f t="shared" si="4"/>
        <v>4.593009019485303</v>
      </c>
      <c r="U22" s="884">
        <f t="shared" si="2"/>
        <v>0</v>
      </c>
    </row>
    <row r="23" spans="1:21" ht="24.75" customHeight="1">
      <c r="A23" s="734" t="s">
        <v>102</v>
      </c>
      <c r="B23" s="1021" t="s">
        <v>760</v>
      </c>
      <c r="C23" s="837">
        <f t="shared" si="5"/>
        <v>9402441</v>
      </c>
      <c r="D23" s="1022">
        <v>6920926</v>
      </c>
      <c r="E23" s="1022">
        <v>2481515</v>
      </c>
      <c r="F23" s="1023">
        <v>3300</v>
      </c>
      <c r="G23" s="1023">
        <v>0</v>
      </c>
      <c r="H23" s="837">
        <f t="shared" si="6"/>
        <v>9399141</v>
      </c>
      <c r="I23" s="837">
        <f t="shared" si="7"/>
        <v>8885820</v>
      </c>
      <c r="J23" s="1022">
        <v>387366</v>
      </c>
      <c r="K23" s="1022">
        <v>855174</v>
      </c>
      <c r="L23" s="1022">
        <v>0</v>
      </c>
      <c r="M23" s="1022">
        <v>7643280</v>
      </c>
      <c r="N23" s="1022">
        <v>0</v>
      </c>
      <c r="O23" s="1022">
        <v>0</v>
      </c>
      <c r="P23" s="1022">
        <v>0</v>
      </c>
      <c r="Q23" s="1024">
        <v>0</v>
      </c>
      <c r="R23" s="1025">
        <v>513321</v>
      </c>
      <c r="S23" s="1026">
        <f t="shared" si="3"/>
        <v>8156601</v>
      </c>
      <c r="T23" s="1027">
        <f t="shared" si="4"/>
        <v>13.983402769806276</v>
      </c>
      <c r="U23" s="884">
        <f t="shared" si="2"/>
        <v>0</v>
      </c>
    </row>
    <row r="24" spans="1:21" ht="24.75" customHeight="1" thickBot="1">
      <c r="A24" s="743" t="s">
        <v>761</v>
      </c>
      <c r="B24" s="1029" t="s">
        <v>694</v>
      </c>
      <c r="C24" s="1030">
        <f t="shared" si="5"/>
        <v>12300440</v>
      </c>
      <c r="D24" s="1031">
        <v>4552360</v>
      </c>
      <c r="E24" s="1031">
        <v>7748080</v>
      </c>
      <c r="F24" s="1032">
        <v>48004</v>
      </c>
      <c r="G24" s="1032">
        <v>0</v>
      </c>
      <c r="H24" s="1030">
        <f t="shared" si="6"/>
        <v>12252436</v>
      </c>
      <c r="I24" s="1030">
        <f t="shared" si="7"/>
        <v>11735921</v>
      </c>
      <c r="J24" s="1031">
        <v>305100</v>
      </c>
      <c r="K24" s="1031">
        <v>1088105</v>
      </c>
      <c r="L24" s="1031">
        <v>0</v>
      </c>
      <c r="M24" s="1031">
        <v>9719743</v>
      </c>
      <c r="N24" s="1031">
        <v>622973</v>
      </c>
      <c r="O24" s="1031">
        <v>0</v>
      </c>
      <c r="P24" s="1031">
        <v>0</v>
      </c>
      <c r="Q24" s="1033">
        <v>0</v>
      </c>
      <c r="R24" s="1034">
        <v>516515</v>
      </c>
      <c r="S24" s="1035">
        <f t="shared" si="3"/>
        <v>10859231</v>
      </c>
      <c r="T24" s="1036">
        <f t="shared" si="4"/>
        <v>11.871288158807475</v>
      </c>
      <c r="U24" s="884">
        <f t="shared" si="2"/>
        <v>0</v>
      </c>
    </row>
    <row r="25" spans="1:21" ht="23.25" customHeight="1" thickTop="1">
      <c r="A25" s="752" t="s">
        <v>1</v>
      </c>
      <c r="B25" s="842" t="s">
        <v>19</v>
      </c>
      <c r="C25" s="843">
        <f aca="true" t="shared" si="8" ref="C25:R25">C26+C37+C42+C48+C53+C57+C60+C66+C71+C75</f>
        <v>1074474107</v>
      </c>
      <c r="D25" s="843">
        <f t="shared" si="8"/>
        <v>751860361</v>
      </c>
      <c r="E25" s="843">
        <f t="shared" si="8"/>
        <v>322613746</v>
      </c>
      <c r="F25" s="843">
        <f t="shared" si="8"/>
        <v>16718924</v>
      </c>
      <c r="G25" s="843">
        <f t="shared" si="8"/>
        <v>143638192</v>
      </c>
      <c r="H25" s="843">
        <f t="shared" si="8"/>
        <v>1057755183</v>
      </c>
      <c r="I25" s="843">
        <f t="shared" si="8"/>
        <v>884366021</v>
      </c>
      <c r="J25" s="843">
        <f t="shared" si="8"/>
        <v>101010431</v>
      </c>
      <c r="K25" s="843">
        <f t="shared" si="8"/>
        <v>175146783</v>
      </c>
      <c r="L25" s="843">
        <f t="shared" si="8"/>
        <v>8790</v>
      </c>
      <c r="M25" s="843">
        <f t="shared" si="8"/>
        <v>449775378</v>
      </c>
      <c r="N25" s="843">
        <f t="shared" si="8"/>
        <v>14387739</v>
      </c>
      <c r="O25" s="843">
        <f t="shared" si="8"/>
        <v>1823182</v>
      </c>
      <c r="P25" s="843">
        <f t="shared" si="8"/>
        <v>1812316</v>
      </c>
      <c r="Q25" s="843">
        <f t="shared" si="8"/>
        <v>140401402</v>
      </c>
      <c r="R25" s="843">
        <f t="shared" si="8"/>
        <v>173389162</v>
      </c>
      <c r="S25" s="843">
        <f>S26+S37+S42+S48+S53+S57+S60+S66+S71+S75</f>
        <v>781589179</v>
      </c>
      <c r="T25" s="844">
        <f t="shared" si="4"/>
        <v>31.22756838709433</v>
      </c>
      <c r="U25" s="884">
        <f t="shared" si="2"/>
        <v>0</v>
      </c>
    </row>
    <row r="26" spans="1:21" s="438" customFormat="1" ht="19.5" customHeight="1">
      <c r="A26" s="732" t="s">
        <v>52</v>
      </c>
      <c r="B26" s="839" t="s">
        <v>695</v>
      </c>
      <c r="C26" s="837">
        <f>SUM(C27:C36)</f>
        <v>489243444</v>
      </c>
      <c r="D26" s="837">
        <f aca="true" t="shared" si="9" ref="D26:R26">SUM(D27:D36)</f>
        <v>402080669</v>
      </c>
      <c r="E26" s="837">
        <f t="shared" si="9"/>
        <v>87162775</v>
      </c>
      <c r="F26" s="837">
        <f t="shared" si="9"/>
        <v>4729514</v>
      </c>
      <c r="G26" s="837">
        <f t="shared" si="9"/>
        <v>84350688</v>
      </c>
      <c r="H26" s="837">
        <f t="shared" si="9"/>
        <v>484513930</v>
      </c>
      <c r="I26" s="837">
        <f t="shared" si="9"/>
        <v>474319652</v>
      </c>
      <c r="J26" s="837">
        <f t="shared" si="9"/>
        <v>34132549</v>
      </c>
      <c r="K26" s="837">
        <f t="shared" si="9"/>
        <v>158914456</v>
      </c>
      <c r="L26" s="837">
        <f t="shared" si="9"/>
        <v>0</v>
      </c>
      <c r="M26" s="837">
        <f t="shared" si="9"/>
        <v>189581287</v>
      </c>
      <c r="N26" s="837">
        <f t="shared" si="9"/>
        <v>8498765</v>
      </c>
      <c r="O26" s="837">
        <f t="shared" si="9"/>
        <v>1809762</v>
      </c>
      <c r="P26" s="837">
        <f t="shared" si="9"/>
        <v>0</v>
      </c>
      <c r="Q26" s="837">
        <f t="shared" si="9"/>
        <v>81382833</v>
      </c>
      <c r="R26" s="837">
        <f t="shared" si="9"/>
        <v>10194278</v>
      </c>
      <c r="S26" s="840">
        <f>R26+Q26+P26+O26+N26+M26</f>
        <v>291466925</v>
      </c>
      <c r="T26" s="841">
        <f t="shared" si="4"/>
        <v>40.699769487940166</v>
      </c>
      <c r="U26" s="884">
        <f t="shared" si="2"/>
        <v>0</v>
      </c>
    </row>
    <row r="27" spans="1:21" s="438" customFormat="1" ht="24.75" customHeight="1">
      <c r="A27" s="734" t="s">
        <v>54</v>
      </c>
      <c r="B27" s="1021" t="s">
        <v>696</v>
      </c>
      <c r="C27" s="837">
        <f>D27+E27</f>
        <v>23984035</v>
      </c>
      <c r="D27" s="1037">
        <v>16054702</v>
      </c>
      <c r="E27" s="1037">
        <v>7929333</v>
      </c>
      <c r="F27" s="1038">
        <v>800</v>
      </c>
      <c r="G27" s="1038"/>
      <c r="H27" s="837">
        <f>I27+R27</f>
        <v>23983235</v>
      </c>
      <c r="I27" s="837">
        <f>J27+K27+L27+M27+N27+O27+P27+Q27</f>
        <v>23902791</v>
      </c>
      <c r="J27" s="1037">
        <v>246735</v>
      </c>
      <c r="K27" s="1037">
        <v>2200</v>
      </c>
      <c r="L27" s="1037"/>
      <c r="M27" s="1037">
        <v>17691271</v>
      </c>
      <c r="N27" s="1037">
        <v>5900573</v>
      </c>
      <c r="O27" s="1037">
        <v>30050</v>
      </c>
      <c r="P27" s="1037"/>
      <c r="Q27" s="1039">
        <v>31962</v>
      </c>
      <c r="R27" s="1040">
        <v>80444</v>
      </c>
      <c r="S27" s="1026">
        <f>R27+Q27+P27+O27+N27+M27</f>
        <v>23734300</v>
      </c>
      <c r="T27" s="1027">
        <f t="shared" si="4"/>
        <v>1.0414474192574414</v>
      </c>
      <c r="U27" s="884">
        <f t="shared" si="2"/>
        <v>0</v>
      </c>
    </row>
    <row r="28" spans="1:21" s="438" customFormat="1" ht="24.75" customHeight="1">
      <c r="A28" s="734" t="s">
        <v>55</v>
      </c>
      <c r="B28" s="1021" t="s">
        <v>697</v>
      </c>
      <c r="C28" s="837">
        <f aca="true" t="shared" si="10" ref="C28:C77">D28+E28</f>
        <v>18865930</v>
      </c>
      <c r="D28" s="1037">
        <v>17774192</v>
      </c>
      <c r="E28" s="1037">
        <v>1091738</v>
      </c>
      <c r="F28" s="1038">
        <v>4736</v>
      </c>
      <c r="G28" s="1038"/>
      <c r="H28" s="837">
        <f aca="true" t="shared" si="11" ref="H28:H77">I28+R28</f>
        <v>18861194</v>
      </c>
      <c r="I28" s="837">
        <f aca="true" t="shared" si="12" ref="I28:I77">J28+K28+L28+M28+N28+O28+P28+Q28</f>
        <v>18605109</v>
      </c>
      <c r="J28" s="1037">
        <v>250441</v>
      </c>
      <c r="K28" s="1037">
        <v>72415</v>
      </c>
      <c r="L28" s="1037"/>
      <c r="M28" s="1037">
        <v>17747326</v>
      </c>
      <c r="N28" s="1037">
        <v>504000</v>
      </c>
      <c r="O28" s="1037">
        <v>30927</v>
      </c>
      <c r="P28" s="1037"/>
      <c r="Q28" s="1039">
        <v>0</v>
      </c>
      <c r="R28" s="1040">
        <v>256085</v>
      </c>
      <c r="S28" s="1026">
        <f aca="true" t="shared" si="13" ref="S28:S36">R28+Q28+P28+O28+N28+M28</f>
        <v>18538338</v>
      </c>
      <c r="T28" s="1027">
        <f t="shared" si="4"/>
        <v>1.735308296231965</v>
      </c>
      <c r="U28" s="884">
        <f t="shared" si="2"/>
        <v>0</v>
      </c>
    </row>
    <row r="29" spans="1:21" s="438" customFormat="1" ht="24.75" customHeight="1">
      <c r="A29" s="734" t="s">
        <v>141</v>
      </c>
      <c r="B29" s="1021" t="s">
        <v>698</v>
      </c>
      <c r="C29" s="837">
        <f t="shared" si="10"/>
        <v>243877322</v>
      </c>
      <c r="D29" s="1037">
        <v>234270086</v>
      </c>
      <c r="E29" s="1037">
        <v>9607236</v>
      </c>
      <c r="F29" s="1038"/>
      <c r="G29" s="1038"/>
      <c r="H29" s="837">
        <f t="shared" si="11"/>
        <v>243877322</v>
      </c>
      <c r="I29" s="837">
        <f t="shared" si="12"/>
        <v>243716313</v>
      </c>
      <c r="J29" s="1037">
        <v>1024593</v>
      </c>
      <c r="K29" s="1037">
        <v>155692579</v>
      </c>
      <c r="L29" s="1037"/>
      <c r="M29" s="1037">
        <v>30252620</v>
      </c>
      <c r="N29" s="1037">
        <v>40000</v>
      </c>
      <c r="O29" s="1037">
        <v>0</v>
      </c>
      <c r="P29" s="1037"/>
      <c r="Q29" s="1039">
        <v>56706521</v>
      </c>
      <c r="R29" s="1040">
        <v>161009</v>
      </c>
      <c r="S29" s="1026">
        <f t="shared" si="13"/>
        <v>87160150</v>
      </c>
      <c r="T29" s="1027">
        <f t="shared" si="4"/>
        <v>64.30311129809353</v>
      </c>
      <c r="U29" s="884">
        <f t="shared" si="2"/>
        <v>0</v>
      </c>
    </row>
    <row r="30" spans="1:21" s="438" customFormat="1" ht="24.75" customHeight="1">
      <c r="A30" s="734" t="s">
        <v>143</v>
      </c>
      <c r="B30" s="1021" t="s">
        <v>699</v>
      </c>
      <c r="C30" s="837">
        <f t="shared" si="10"/>
        <v>14304878</v>
      </c>
      <c r="D30" s="1022">
        <f>10017607-2776087</f>
        <v>7241520</v>
      </c>
      <c r="E30" s="1037">
        <v>7063358</v>
      </c>
      <c r="F30" s="1038">
        <f>534808</f>
        <v>534808</v>
      </c>
      <c r="G30" s="1038">
        <v>2776087</v>
      </c>
      <c r="H30" s="837">
        <f t="shared" si="11"/>
        <v>13770070</v>
      </c>
      <c r="I30" s="837">
        <f t="shared" si="12"/>
        <v>11858962</v>
      </c>
      <c r="J30" s="1037">
        <v>3098247</v>
      </c>
      <c r="K30" s="1037">
        <v>589420</v>
      </c>
      <c r="L30" s="1037"/>
      <c r="M30" s="1037">
        <v>7596096</v>
      </c>
      <c r="N30" s="1037"/>
      <c r="O30" s="1037"/>
      <c r="P30" s="1037"/>
      <c r="Q30" s="1039">
        <v>575199</v>
      </c>
      <c r="R30" s="1040">
        <v>1911108</v>
      </c>
      <c r="S30" s="1026">
        <f t="shared" si="13"/>
        <v>10082403</v>
      </c>
      <c r="T30" s="1027">
        <f t="shared" si="4"/>
        <v>31.096035217922108</v>
      </c>
      <c r="U30" s="884">
        <f t="shared" si="2"/>
        <v>0</v>
      </c>
    </row>
    <row r="31" spans="1:21" s="438" customFormat="1" ht="24.75" customHeight="1">
      <c r="A31" s="734" t="s">
        <v>145</v>
      </c>
      <c r="B31" s="1021" t="s">
        <v>700</v>
      </c>
      <c r="C31" s="837">
        <f t="shared" si="10"/>
        <v>22706707</v>
      </c>
      <c r="D31" s="1037">
        <v>13696492</v>
      </c>
      <c r="E31" s="1037">
        <v>9010215</v>
      </c>
      <c r="F31" s="1038">
        <v>36000</v>
      </c>
      <c r="G31" s="1038"/>
      <c r="H31" s="837">
        <f t="shared" si="11"/>
        <v>22670707</v>
      </c>
      <c r="I31" s="837">
        <f t="shared" si="12"/>
        <v>21425189</v>
      </c>
      <c r="J31" s="1037">
        <v>2523678</v>
      </c>
      <c r="K31" s="1037">
        <v>195896</v>
      </c>
      <c r="L31" s="1037"/>
      <c r="M31" s="1037">
        <v>10274248</v>
      </c>
      <c r="N31" s="1037">
        <v>0</v>
      </c>
      <c r="O31" s="1037"/>
      <c r="P31" s="1037"/>
      <c r="Q31" s="1039">
        <v>8431367</v>
      </c>
      <c r="R31" s="1040">
        <v>1245518</v>
      </c>
      <c r="S31" s="1026">
        <f t="shared" si="13"/>
        <v>19951133</v>
      </c>
      <c r="T31" s="1027">
        <f t="shared" si="4"/>
        <v>12.693348936151741</v>
      </c>
      <c r="U31" s="884">
        <f t="shared" si="2"/>
        <v>0</v>
      </c>
    </row>
    <row r="32" spans="1:21" s="438" customFormat="1" ht="24.75" customHeight="1">
      <c r="A32" s="734" t="s">
        <v>147</v>
      </c>
      <c r="B32" s="1021" t="s">
        <v>701</v>
      </c>
      <c r="C32" s="837">
        <f t="shared" si="10"/>
        <v>56276092</v>
      </c>
      <c r="D32" s="1037">
        <f>45976267+8485070-8485070</f>
        <v>45976267</v>
      </c>
      <c r="E32" s="1037">
        <v>10299825</v>
      </c>
      <c r="F32" s="1038">
        <v>351750</v>
      </c>
      <c r="G32" s="1038">
        <v>8485070</v>
      </c>
      <c r="H32" s="837">
        <f t="shared" si="11"/>
        <v>55924342</v>
      </c>
      <c r="I32" s="837">
        <f t="shared" si="12"/>
        <v>50210237</v>
      </c>
      <c r="J32" s="1037">
        <v>9410560</v>
      </c>
      <c r="K32" s="1037">
        <v>1399759</v>
      </c>
      <c r="L32" s="1037"/>
      <c r="M32" s="1037">
        <v>37683271</v>
      </c>
      <c r="N32" s="1037">
        <v>0</v>
      </c>
      <c r="O32" s="1037">
        <v>1716647</v>
      </c>
      <c r="P32" s="1037"/>
      <c r="Q32" s="1039">
        <v>0</v>
      </c>
      <c r="R32" s="1040">
        <v>5714105</v>
      </c>
      <c r="S32" s="1026">
        <f t="shared" si="13"/>
        <v>45114023</v>
      </c>
      <c r="T32" s="1027">
        <f t="shared" si="4"/>
        <v>21.53010948743381</v>
      </c>
      <c r="U32" s="884">
        <f t="shared" si="2"/>
        <v>0</v>
      </c>
    </row>
    <row r="33" spans="1:21" s="438" customFormat="1" ht="24.75" customHeight="1">
      <c r="A33" s="734" t="s">
        <v>149</v>
      </c>
      <c r="B33" s="1021" t="s">
        <v>702</v>
      </c>
      <c r="C33" s="837">
        <f t="shared" si="10"/>
        <v>37637796</v>
      </c>
      <c r="D33" s="1037">
        <f>101053093-73089531</f>
        <v>27963562</v>
      </c>
      <c r="E33" s="1037">
        <v>9674234</v>
      </c>
      <c r="F33" s="1038">
        <v>1100</v>
      </c>
      <c r="G33" s="1038">
        <v>73089531</v>
      </c>
      <c r="H33" s="837">
        <f t="shared" si="11"/>
        <v>37636696</v>
      </c>
      <c r="I33" s="837">
        <f t="shared" si="12"/>
        <v>37459739</v>
      </c>
      <c r="J33" s="1037">
        <v>3856619</v>
      </c>
      <c r="K33" s="1037">
        <v>361050</v>
      </c>
      <c r="L33" s="1037"/>
      <c r="M33" s="1037">
        <v>17572148</v>
      </c>
      <c r="N33" s="1037"/>
      <c r="O33" s="1037">
        <v>32138</v>
      </c>
      <c r="P33" s="1037"/>
      <c r="Q33" s="1039">
        <v>15637784</v>
      </c>
      <c r="R33" s="1040">
        <v>176957</v>
      </c>
      <c r="S33" s="1026">
        <f t="shared" si="13"/>
        <v>33419027</v>
      </c>
      <c r="T33" s="1027">
        <f t="shared" si="4"/>
        <v>11.259205516621458</v>
      </c>
      <c r="U33" s="884">
        <f t="shared" si="2"/>
        <v>0</v>
      </c>
    </row>
    <row r="34" spans="1:21" s="438" customFormat="1" ht="24.75" customHeight="1">
      <c r="A34" s="734" t="s">
        <v>186</v>
      </c>
      <c r="B34" s="1021" t="s">
        <v>703</v>
      </c>
      <c r="C34" s="837">
        <f t="shared" si="10"/>
        <v>41659086</v>
      </c>
      <c r="D34" s="1037">
        <v>19812798</v>
      </c>
      <c r="E34" s="1037">
        <v>21846288</v>
      </c>
      <c r="F34" s="1038">
        <v>3528071</v>
      </c>
      <c r="G34" s="1038"/>
      <c r="H34" s="837">
        <f t="shared" si="11"/>
        <v>38131015</v>
      </c>
      <c r="I34" s="837">
        <f t="shared" si="12"/>
        <v>38001434</v>
      </c>
      <c r="J34" s="1037">
        <v>7534427</v>
      </c>
      <c r="K34" s="1037">
        <v>237987</v>
      </c>
      <c r="L34" s="1037"/>
      <c r="M34" s="1037">
        <v>30229020</v>
      </c>
      <c r="N34" s="1037"/>
      <c r="O34" s="1037"/>
      <c r="P34" s="1037"/>
      <c r="Q34" s="1039">
        <v>0</v>
      </c>
      <c r="R34" s="1040">
        <v>129581</v>
      </c>
      <c r="S34" s="1026">
        <f t="shared" si="13"/>
        <v>30358601</v>
      </c>
      <c r="T34" s="1027">
        <f t="shared" si="4"/>
        <v>20.452949222916168</v>
      </c>
      <c r="U34" s="884">
        <f t="shared" si="2"/>
        <v>0</v>
      </c>
    </row>
    <row r="35" spans="1:21" s="438" customFormat="1" ht="24.75" customHeight="1">
      <c r="A35" s="734" t="s">
        <v>573</v>
      </c>
      <c r="B35" s="1021" t="s">
        <v>704</v>
      </c>
      <c r="C35" s="837">
        <f t="shared" si="10"/>
        <v>20992552</v>
      </c>
      <c r="D35" s="1037">
        <v>18342974</v>
      </c>
      <c r="E35" s="1037">
        <v>2649578</v>
      </c>
      <c r="F35" s="1038">
        <v>43400</v>
      </c>
      <c r="G35" s="1038"/>
      <c r="H35" s="837">
        <f t="shared" si="11"/>
        <v>20949152</v>
      </c>
      <c r="I35" s="837">
        <f t="shared" si="12"/>
        <v>20684231</v>
      </c>
      <c r="J35" s="1037">
        <v>4774864</v>
      </c>
      <c r="K35" s="1037">
        <v>134300</v>
      </c>
      <c r="L35" s="1037"/>
      <c r="M35" s="1037">
        <v>13720875</v>
      </c>
      <c r="N35" s="1037">
        <v>2054192</v>
      </c>
      <c r="O35" s="1037"/>
      <c r="P35" s="1037"/>
      <c r="Q35" s="1039">
        <v>0</v>
      </c>
      <c r="R35" s="1040">
        <v>264921</v>
      </c>
      <c r="S35" s="1026">
        <f t="shared" si="13"/>
        <v>16039988</v>
      </c>
      <c r="T35" s="1027">
        <f t="shared" si="4"/>
        <v>23.733848263442813</v>
      </c>
      <c r="U35" s="884">
        <f t="shared" si="2"/>
        <v>0</v>
      </c>
    </row>
    <row r="36" spans="1:21" s="438" customFormat="1" ht="24.75" customHeight="1" thickBot="1">
      <c r="A36" s="743" t="s">
        <v>705</v>
      </c>
      <c r="B36" s="1041" t="s">
        <v>706</v>
      </c>
      <c r="C36" s="1030">
        <f t="shared" si="10"/>
        <v>8939046</v>
      </c>
      <c r="D36" s="1042">
        <v>948076</v>
      </c>
      <c r="E36" s="1042">
        <v>7990970</v>
      </c>
      <c r="F36" s="1043">
        <v>228849</v>
      </c>
      <c r="G36" s="1043"/>
      <c r="H36" s="1030">
        <f t="shared" si="11"/>
        <v>8710197</v>
      </c>
      <c r="I36" s="1030">
        <f t="shared" si="12"/>
        <v>8455647</v>
      </c>
      <c r="J36" s="1042">
        <v>1412385</v>
      </c>
      <c r="K36" s="1042">
        <v>228850</v>
      </c>
      <c r="L36" s="1042"/>
      <c r="M36" s="1042">
        <v>6814412</v>
      </c>
      <c r="N36" s="1042"/>
      <c r="O36" s="1042"/>
      <c r="P36" s="1042"/>
      <c r="Q36" s="1044"/>
      <c r="R36" s="1045">
        <v>254550</v>
      </c>
      <c r="S36" s="1035">
        <f t="shared" si="13"/>
        <v>7068962</v>
      </c>
      <c r="T36" s="1036">
        <f t="shared" si="4"/>
        <v>19.409928063458658</v>
      </c>
      <c r="U36" s="884">
        <f t="shared" si="2"/>
        <v>0</v>
      </c>
    </row>
    <row r="37" spans="1:21" s="438" customFormat="1" ht="22.5" customHeight="1" thickTop="1">
      <c r="A37" s="752" t="s">
        <v>53</v>
      </c>
      <c r="B37" s="842" t="s">
        <v>707</v>
      </c>
      <c r="C37" s="843">
        <f>SUM(C38:C41)</f>
        <v>120224549</v>
      </c>
      <c r="D37" s="843">
        <f aca="true" t="shared" si="14" ref="D37:R37">SUM(D38:D41)</f>
        <v>66707909</v>
      </c>
      <c r="E37" s="843">
        <f t="shared" si="14"/>
        <v>53516640</v>
      </c>
      <c r="F37" s="843">
        <f t="shared" si="14"/>
        <v>1174006</v>
      </c>
      <c r="G37" s="843">
        <f t="shared" si="14"/>
        <v>13230552</v>
      </c>
      <c r="H37" s="843">
        <f t="shared" si="14"/>
        <v>119050543</v>
      </c>
      <c r="I37" s="843">
        <f t="shared" si="14"/>
        <v>73287819</v>
      </c>
      <c r="J37" s="843">
        <f t="shared" si="14"/>
        <v>16166705</v>
      </c>
      <c r="K37" s="843">
        <f t="shared" si="14"/>
        <v>970168</v>
      </c>
      <c r="L37" s="843">
        <f t="shared" si="14"/>
        <v>0</v>
      </c>
      <c r="M37" s="843">
        <f t="shared" si="14"/>
        <v>24988723</v>
      </c>
      <c r="N37" s="843">
        <f t="shared" si="14"/>
        <v>316250</v>
      </c>
      <c r="O37" s="843">
        <f t="shared" si="14"/>
        <v>0</v>
      </c>
      <c r="P37" s="843">
        <f t="shared" si="14"/>
        <v>0</v>
      </c>
      <c r="Q37" s="843">
        <f t="shared" si="14"/>
        <v>30845973</v>
      </c>
      <c r="R37" s="843">
        <f t="shared" si="14"/>
        <v>45762724</v>
      </c>
      <c r="S37" s="845">
        <f aca="true" t="shared" si="15" ref="S37:S77">R37+Q37+P37+O37+N37+M37</f>
        <v>101913670</v>
      </c>
      <c r="T37" s="844">
        <f t="shared" si="4"/>
        <v>23.382975825764444</v>
      </c>
      <c r="U37" s="884">
        <f t="shared" si="2"/>
        <v>0</v>
      </c>
    </row>
    <row r="38" spans="1:21" s="438" customFormat="1" ht="24.75" customHeight="1">
      <c r="A38" s="758">
        <v>2.1</v>
      </c>
      <c r="B38" s="1046" t="s">
        <v>708</v>
      </c>
      <c r="C38" s="837">
        <f t="shared" si="10"/>
        <v>73273593</v>
      </c>
      <c r="D38" s="1022">
        <f>59325367-1996308</f>
        <v>57329059</v>
      </c>
      <c r="E38" s="1022">
        <v>15944534</v>
      </c>
      <c r="F38" s="1023">
        <v>12730</v>
      </c>
      <c r="G38" s="1023">
        <v>1996308</v>
      </c>
      <c r="H38" s="837">
        <f t="shared" si="11"/>
        <v>73260863</v>
      </c>
      <c r="I38" s="837">
        <f t="shared" si="12"/>
        <v>44268124</v>
      </c>
      <c r="J38" s="1022">
        <v>11743453</v>
      </c>
      <c r="K38" s="1022">
        <v>275848</v>
      </c>
      <c r="L38" s="1022">
        <v>0</v>
      </c>
      <c r="M38" s="1022">
        <v>8249337</v>
      </c>
      <c r="N38" s="1022">
        <v>4436</v>
      </c>
      <c r="O38" s="1022">
        <v>0</v>
      </c>
      <c r="P38" s="1022">
        <v>0</v>
      </c>
      <c r="Q38" s="1024">
        <v>23995050</v>
      </c>
      <c r="R38" s="1025">
        <v>28992739</v>
      </c>
      <c r="S38" s="1026">
        <f t="shared" si="15"/>
        <v>61241562</v>
      </c>
      <c r="T38" s="1027">
        <f t="shared" si="4"/>
        <v>27.15114153018999</v>
      </c>
      <c r="U38" s="884">
        <f t="shared" si="2"/>
        <v>0</v>
      </c>
    </row>
    <row r="39" spans="1:21" s="438" customFormat="1" ht="24.75" customHeight="1">
      <c r="A39" s="758">
        <v>2.2</v>
      </c>
      <c r="B39" s="1021" t="s">
        <v>709</v>
      </c>
      <c r="C39" s="837">
        <f t="shared" si="10"/>
        <v>21507333</v>
      </c>
      <c r="D39" s="1022">
        <f>11766936-2469116</f>
        <v>9297820</v>
      </c>
      <c r="E39" s="1022">
        <v>12209513</v>
      </c>
      <c r="F39" s="1023">
        <v>10400</v>
      </c>
      <c r="G39" s="1023">
        <v>2469116</v>
      </c>
      <c r="H39" s="837">
        <f t="shared" si="11"/>
        <v>21496933</v>
      </c>
      <c r="I39" s="837">
        <f t="shared" si="12"/>
        <v>13924356</v>
      </c>
      <c r="J39" s="1022">
        <v>1892278</v>
      </c>
      <c r="K39" s="1022">
        <v>502920</v>
      </c>
      <c r="L39" s="1022">
        <v>0</v>
      </c>
      <c r="M39" s="1022">
        <v>5240535</v>
      </c>
      <c r="N39" s="1022">
        <v>15450</v>
      </c>
      <c r="O39" s="1022">
        <v>0</v>
      </c>
      <c r="P39" s="1022">
        <v>0</v>
      </c>
      <c r="Q39" s="1024">
        <v>6273173</v>
      </c>
      <c r="R39" s="1025">
        <v>7572577</v>
      </c>
      <c r="S39" s="1026">
        <f t="shared" si="15"/>
        <v>19101735</v>
      </c>
      <c r="T39" s="1027">
        <f t="shared" si="4"/>
        <v>17.201499300937147</v>
      </c>
      <c r="U39" s="884">
        <f t="shared" si="2"/>
        <v>0</v>
      </c>
    </row>
    <row r="40" spans="1:21" s="438" customFormat="1" ht="24.75" customHeight="1">
      <c r="A40" s="758">
        <v>2.3</v>
      </c>
      <c r="B40" s="1021" t="s">
        <v>710</v>
      </c>
      <c r="C40" s="837">
        <f t="shared" si="10"/>
        <v>4380766</v>
      </c>
      <c r="D40" s="1022">
        <f>3890218-722764</f>
        <v>3167454</v>
      </c>
      <c r="E40" s="1022">
        <v>1213312</v>
      </c>
      <c r="F40" s="1023">
        <v>2670</v>
      </c>
      <c r="G40" s="1023">
        <v>722764</v>
      </c>
      <c r="H40" s="837">
        <f t="shared" si="11"/>
        <v>4378096</v>
      </c>
      <c r="I40" s="837">
        <f t="shared" si="12"/>
        <v>3929816</v>
      </c>
      <c r="J40" s="1022">
        <v>452165</v>
      </c>
      <c r="K40" s="1022">
        <v>52700</v>
      </c>
      <c r="L40" s="1022">
        <v>0</v>
      </c>
      <c r="M40" s="1022">
        <v>3424951</v>
      </c>
      <c r="N40" s="1022">
        <v>0</v>
      </c>
      <c r="O40" s="1022">
        <v>0</v>
      </c>
      <c r="P40" s="1022">
        <v>0</v>
      </c>
      <c r="Q40" s="1024">
        <v>0</v>
      </c>
      <c r="R40" s="1025">
        <v>448280</v>
      </c>
      <c r="S40" s="1026">
        <f t="shared" si="15"/>
        <v>3873231</v>
      </c>
      <c r="T40" s="1027">
        <f t="shared" si="4"/>
        <v>12.847039148906717</v>
      </c>
      <c r="U40" s="884">
        <f t="shared" si="2"/>
        <v>0</v>
      </c>
    </row>
    <row r="41" spans="1:21" s="438" customFormat="1" ht="24.75" customHeight="1" thickBot="1">
      <c r="A41" s="760">
        <v>2.4</v>
      </c>
      <c r="B41" s="1047" t="s">
        <v>711</v>
      </c>
      <c r="C41" s="1030">
        <f t="shared" si="10"/>
        <v>21062857</v>
      </c>
      <c r="D41" s="1031">
        <f>4955940-8042364</f>
        <v>-3086424</v>
      </c>
      <c r="E41" s="1031">
        <v>24149281</v>
      </c>
      <c r="F41" s="1032">
        <v>1148206</v>
      </c>
      <c r="G41" s="1032">
        <v>8042364</v>
      </c>
      <c r="H41" s="1030">
        <f t="shared" si="11"/>
        <v>19914651</v>
      </c>
      <c r="I41" s="1030">
        <f t="shared" si="12"/>
        <v>11165523</v>
      </c>
      <c r="J41" s="1031">
        <v>2078809</v>
      </c>
      <c r="K41" s="1031">
        <v>138700</v>
      </c>
      <c r="L41" s="1031">
        <v>0</v>
      </c>
      <c r="M41" s="1031">
        <v>8073900</v>
      </c>
      <c r="N41" s="1031">
        <v>296364</v>
      </c>
      <c r="O41" s="1031">
        <v>0</v>
      </c>
      <c r="P41" s="1031">
        <v>0</v>
      </c>
      <c r="Q41" s="1033">
        <v>577750</v>
      </c>
      <c r="R41" s="1034">
        <v>8749128</v>
      </c>
      <c r="S41" s="1035">
        <f t="shared" si="15"/>
        <v>17697142</v>
      </c>
      <c r="T41" s="1036">
        <f t="shared" si="4"/>
        <v>19.860323605083256</v>
      </c>
      <c r="U41" s="884">
        <f t="shared" si="2"/>
        <v>0</v>
      </c>
    </row>
    <row r="42" spans="1:21" s="438" customFormat="1" ht="21.75" customHeight="1" thickTop="1">
      <c r="A42" s="752" t="s">
        <v>58</v>
      </c>
      <c r="B42" s="842" t="s">
        <v>712</v>
      </c>
      <c r="C42" s="843">
        <f aca="true" t="shared" si="16" ref="C42:R42">SUM(C43:C47)</f>
        <v>74008279</v>
      </c>
      <c r="D42" s="843">
        <f t="shared" si="16"/>
        <v>41236679</v>
      </c>
      <c r="E42" s="843">
        <f t="shared" si="16"/>
        <v>32771600</v>
      </c>
      <c r="F42" s="843">
        <f t="shared" si="16"/>
        <v>258785</v>
      </c>
      <c r="G42" s="843">
        <f t="shared" si="16"/>
        <v>0</v>
      </c>
      <c r="H42" s="843">
        <f t="shared" si="16"/>
        <v>73749494</v>
      </c>
      <c r="I42" s="843">
        <f t="shared" si="16"/>
        <v>49153132</v>
      </c>
      <c r="J42" s="843">
        <f>SUM(J43:J47)</f>
        <v>12092093</v>
      </c>
      <c r="K42" s="843">
        <f t="shared" si="16"/>
        <v>4235562</v>
      </c>
      <c r="L42" s="843">
        <f t="shared" si="16"/>
        <v>0</v>
      </c>
      <c r="M42" s="843">
        <f t="shared" si="16"/>
        <v>26141276</v>
      </c>
      <c r="N42" s="843">
        <f t="shared" si="16"/>
        <v>2419787</v>
      </c>
      <c r="O42" s="843">
        <f t="shared" si="16"/>
        <v>13420</v>
      </c>
      <c r="P42" s="843">
        <f t="shared" si="16"/>
        <v>1812316</v>
      </c>
      <c r="Q42" s="843">
        <f t="shared" si="16"/>
        <v>2438678</v>
      </c>
      <c r="R42" s="843">
        <f t="shared" si="16"/>
        <v>24596362</v>
      </c>
      <c r="S42" s="845">
        <f t="shared" si="15"/>
        <v>57421839</v>
      </c>
      <c r="T42" s="844">
        <f t="shared" si="4"/>
        <v>33.21793410845111</v>
      </c>
      <c r="U42" s="884">
        <f t="shared" si="2"/>
        <v>0</v>
      </c>
    </row>
    <row r="43" spans="1:21" s="438" customFormat="1" ht="24.75" customHeight="1">
      <c r="A43" s="758">
        <v>3.1</v>
      </c>
      <c r="B43" s="1048" t="s">
        <v>713</v>
      </c>
      <c r="C43" s="837">
        <f t="shared" si="10"/>
        <v>22923712</v>
      </c>
      <c r="D43" s="1049">
        <v>7954551</v>
      </c>
      <c r="E43" s="1049">
        <v>14969161</v>
      </c>
      <c r="F43" s="1050">
        <v>258585</v>
      </c>
      <c r="G43" s="1050">
        <v>0</v>
      </c>
      <c r="H43" s="837">
        <f t="shared" si="11"/>
        <v>22665127</v>
      </c>
      <c r="I43" s="837">
        <f t="shared" si="12"/>
        <v>15621358</v>
      </c>
      <c r="J43" s="1051">
        <v>3493650</v>
      </c>
      <c r="K43" s="1051">
        <v>2825354</v>
      </c>
      <c r="L43" s="1051">
        <v>0</v>
      </c>
      <c r="M43" s="1051">
        <f>6821223+106000</f>
        <v>6927223</v>
      </c>
      <c r="N43" s="1051">
        <v>2364602</v>
      </c>
      <c r="O43" s="1051">
        <v>0</v>
      </c>
      <c r="P43" s="1051">
        <v>0</v>
      </c>
      <c r="Q43" s="1051">
        <v>10529</v>
      </c>
      <c r="R43" s="843">
        <v>7043769</v>
      </c>
      <c r="S43" s="1026">
        <f t="shared" si="15"/>
        <v>16346123</v>
      </c>
      <c r="T43" s="1027">
        <f t="shared" si="4"/>
        <v>40.45105425533427</v>
      </c>
      <c r="U43" s="884">
        <f t="shared" si="2"/>
        <v>0</v>
      </c>
    </row>
    <row r="44" spans="1:21" s="438" customFormat="1" ht="24.75" customHeight="1">
      <c r="A44" s="758">
        <v>3.2</v>
      </c>
      <c r="B44" s="1052" t="s">
        <v>714</v>
      </c>
      <c r="C44" s="837">
        <f t="shared" si="10"/>
        <v>11660160</v>
      </c>
      <c r="D44" s="1049">
        <f>8955986+85564</f>
        <v>9041550</v>
      </c>
      <c r="E44" s="1049">
        <f>2704174-85564</f>
        <v>2618610</v>
      </c>
      <c r="F44" s="1050">
        <v>0</v>
      </c>
      <c r="G44" s="1050">
        <v>0</v>
      </c>
      <c r="H44" s="837">
        <f t="shared" si="11"/>
        <v>11660160</v>
      </c>
      <c r="I44" s="837">
        <f t="shared" si="12"/>
        <v>8499160</v>
      </c>
      <c r="J44" s="1051">
        <v>1762281</v>
      </c>
      <c r="K44" s="1051">
        <v>404750</v>
      </c>
      <c r="L44" s="1051">
        <v>0</v>
      </c>
      <c r="M44" s="1051">
        <v>6318709</v>
      </c>
      <c r="N44" s="1051">
        <v>0</v>
      </c>
      <c r="O44" s="1051">
        <v>13420</v>
      </c>
      <c r="P44" s="1051">
        <v>0</v>
      </c>
      <c r="Q44" s="1051">
        <v>0</v>
      </c>
      <c r="R44" s="843">
        <v>3161000</v>
      </c>
      <c r="S44" s="1026">
        <f t="shared" si="15"/>
        <v>9493129</v>
      </c>
      <c r="T44" s="1027">
        <f t="shared" si="4"/>
        <v>25.497002056673836</v>
      </c>
      <c r="U44" s="884">
        <f t="shared" si="2"/>
        <v>0</v>
      </c>
    </row>
    <row r="45" spans="1:21" s="438" customFormat="1" ht="24.75" customHeight="1">
      <c r="A45" s="758">
        <v>3.3</v>
      </c>
      <c r="B45" s="1052" t="s">
        <v>721</v>
      </c>
      <c r="C45" s="837">
        <f t="shared" si="10"/>
        <v>7079469</v>
      </c>
      <c r="D45" s="1049">
        <v>3379855</v>
      </c>
      <c r="E45" s="1049">
        <v>3699614</v>
      </c>
      <c r="F45" s="1050">
        <v>0</v>
      </c>
      <c r="G45" s="1050">
        <v>0</v>
      </c>
      <c r="H45" s="837">
        <f t="shared" si="11"/>
        <v>7079469</v>
      </c>
      <c r="I45" s="837">
        <f t="shared" si="12"/>
        <v>5694103</v>
      </c>
      <c r="J45" s="1051">
        <v>1012746</v>
      </c>
      <c r="K45" s="1051">
        <v>299491</v>
      </c>
      <c r="L45" s="1051">
        <v>0</v>
      </c>
      <c r="M45" s="1051">
        <v>4381866</v>
      </c>
      <c r="N45" s="1051">
        <v>0</v>
      </c>
      <c r="O45" s="1051">
        <v>0</v>
      </c>
      <c r="P45" s="1051">
        <v>0</v>
      </c>
      <c r="Q45" s="1051">
        <v>0</v>
      </c>
      <c r="R45" s="843">
        <v>1385366</v>
      </c>
      <c r="S45" s="1026">
        <f t="shared" si="15"/>
        <v>5767232</v>
      </c>
      <c r="T45" s="1027">
        <f t="shared" si="4"/>
        <v>23.045543784508286</v>
      </c>
      <c r="U45" s="884">
        <f t="shared" si="2"/>
        <v>0</v>
      </c>
    </row>
    <row r="46" spans="1:21" s="438" customFormat="1" ht="24.75" customHeight="1">
      <c r="A46" s="758">
        <v>3.4</v>
      </c>
      <c r="B46" s="1053" t="s">
        <v>716</v>
      </c>
      <c r="C46" s="837">
        <f t="shared" si="10"/>
        <v>20137236</v>
      </c>
      <c r="D46" s="1049">
        <v>14427558</v>
      </c>
      <c r="E46" s="1049">
        <v>5709678</v>
      </c>
      <c r="F46" s="1050">
        <v>0</v>
      </c>
      <c r="G46" s="1050">
        <v>0</v>
      </c>
      <c r="H46" s="837">
        <f t="shared" si="11"/>
        <v>20137236</v>
      </c>
      <c r="I46" s="837">
        <f t="shared" si="12"/>
        <v>10403372</v>
      </c>
      <c r="J46" s="1051">
        <v>4139673</v>
      </c>
      <c r="K46" s="1051">
        <v>619053</v>
      </c>
      <c r="L46" s="1051">
        <v>0</v>
      </c>
      <c r="M46" s="1051">
        <v>5589461</v>
      </c>
      <c r="N46" s="1051">
        <v>55185</v>
      </c>
      <c r="O46" s="1051">
        <v>0</v>
      </c>
      <c r="P46" s="1051">
        <v>0</v>
      </c>
      <c r="Q46" s="1051">
        <v>0</v>
      </c>
      <c r="R46" s="843">
        <v>9733864</v>
      </c>
      <c r="S46" s="1026">
        <f t="shared" si="15"/>
        <v>15378510</v>
      </c>
      <c r="T46" s="1027">
        <f t="shared" si="4"/>
        <v>45.742149756828844</v>
      </c>
      <c r="U46" s="884">
        <f t="shared" si="2"/>
        <v>0</v>
      </c>
    </row>
    <row r="47" spans="1:21" s="438" customFormat="1" ht="24.75" customHeight="1" thickBot="1">
      <c r="A47" s="760">
        <v>3.5</v>
      </c>
      <c r="B47" s="1054" t="s">
        <v>717</v>
      </c>
      <c r="C47" s="1030">
        <f t="shared" si="10"/>
        <v>12207702</v>
      </c>
      <c r="D47" s="1055">
        <v>6433165</v>
      </c>
      <c r="E47" s="1055">
        <v>5774537</v>
      </c>
      <c r="F47" s="1056">
        <v>200</v>
      </c>
      <c r="G47" s="1056">
        <v>0</v>
      </c>
      <c r="H47" s="1030">
        <f t="shared" si="11"/>
        <v>12207502</v>
      </c>
      <c r="I47" s="1030">
        <f t="shared" si="12"/>
        <v>8935139</v>
      </c>
      <c r="J47" s="1031">
        <v>1683743</v>
      </c>
      <c r="K47" s="1031">
        <v>86914</v>
      </c>
      <c r="L47" s="1031">
        <v>0</v>
      </c>
      <c r="M47" s="1031">
        <v>2924017</v>
      </c>
      <c r="N47" s="1031">
        <v>0</v>
      </c>
      <c r="O47" s="1031">
        <v>0</v>
      </c>
      <c r="P47" s="1031">
        <v>1812316</v>
      </c>
      <c r="Q47" s="1031">
        <v>2428149</v>
      </c>
      <c r="R47" s="1030">
        <v>3272363</v>
      </c>
      <c r="S47" s="1035">
        <f t="shared" si="15"/>
        <v>10436845</v>
      </c>
      <c r="T47" s="1036">
        <f t="shared" si="4"/>
        <v>19.816781809437995</v>
      </c>
      <c r="U47" s="884">
        <f t="shared" si="2"/>
        <v>0</v>
      </c>
    </row>
    <row r="48" spans="1:21" s="438" customFormat="1" ht="24.75" customHeight="1" thickTop="1">
      <c r="A48" s="752" t="s">
        <v>73</v>
      </c>
      <c r="B48" s="842" t="s">
        <v>718</v>
      </c>
      <c r="C48" s="843">
        <f aca="true" t="shared" si="17" ref="C48:R48">SUM(C49:C52)</f>
        <v>30330339</v>
      </c>
      <c r="D48" s="843">
        <f t="shared" si="17"/>
        <v>9999086</v>
      </c>
      <c r="E48" s="843">
        <f t="shared" si="17"/>
        <v>20331253</v>
      </c>
      <c r="F48" s="843">
        <f t="shared" si="17"/>
        <v>1059240</v>
      </c>
      <c r="G48" s="843">
        <f t="shared" si="17"/>
        <v>22285012</v>
      </c>
      <c r="H48" s="843">
        <f t="shared" si="17"/>
        <v>29271099</v>
      </c>
      <c r="I48" s="843">
        <f t="shared" si="17"/>
        <v>18268247</v>
      </c>
      <c r="J48" s="843">
        <f t="shared" si="17"/>
        <v>2544424</v>
      </c>
      <c r="K48" s="843">
        <f t="shared" si="17"/>
        <v>4284332</v>
      </c>
      <c r="L48" s="843">
        <f t="shared" si="17"/>
        <v>0</v>
      </c>
      <c r="M48" s="843">
        <f t="shared" si="17"/>
        <v>11221420</v>
      </c>
      <c r="N48" s="843">
        <f t="shared" si="17"/>
        <v>178608</v>
      </c>
      <c r="O48" s="843">
        <f t="shared" si="17"/>
        <v>0</v>
      </c>
      <c r="P48" s="843">
        <f t="shared" si="17"/>
        <v>0</v>
      </c>
      <c r="Q48" s="843">
        <f t="shared" si="17"/>
        <v>39463</v>
      </c>
      <c r="R48" s="843">
        <f t="shared" si="17"/>
        <v>11002852</v>
      </c>
      <c r="S48" s="845">
        <f t="shared" si="15"/>
        <v>22442343</v>
      </c>
      <c r="T48" s="844">
        <f t="shared" si="4"/>
        <v>37.38046677385082</v>
      </c>
      <c r="U48" s="884">
        <f t="shared" si="2"/>
        <v>0</v>
      </c>
    </row>
    <row r="49" spans="1:21" s="438" customFormat="1" ht="24.75" customHeight="1">
      <c r="A49" s="761">
        <v>4.1</v>
      </c>
      <c r="B49" s="1021" t="s">
        <v>719</v>
      </c>
      <c r="C49" s="837">
        <f t="shared" si="10"/>
        <v>2338155</v>
      </c>
      <c r="D49" s="1022">
        <v>1600651</v>
      </c>
      <c r="E49" s="1022">
        <v>737504</v>
      </c>
      <c r="F49" s="1023">
        <v>0</v>
      </c>
      <c r="G49" s="1023">
        <v>0</v>
      </c>
      <c r="H49" s="837">
        <f t="shared" si="11"/>
        <v>2338155</v>
      </c>
      <c r="I49" s="837">
        <f t="shared" si="12"/>
        <v>1946599</v>
      </c>
      <c r="J49" s="1022">
        <v>263830</v>
      </c>
      <c r="K49" s="1022">
        <v>102000</v>
      </c>
      <c r="L49" s="1022">
        <v>0</v>
      </c>
      <c r="M49" s="1022">
        <v>1562703</v>
      </c>
      <c r="N49" s="1022">
        <v>18066</v>
      </c>
      <c r="O49" s="1022">
        <v>0</v>
      </c>
      <c r="P49" s="1022">
        <v>0</v>
      </c>
      <c r="Q49" s="1024">
        <v>0</v>
      </c>
      <c r="R49" s="1025">
        <v>391556</v>
      </c>
      <c r="S49" s="1026">
        <f t="shared" si="15"/>
        <v>1972325</v>
      </c>
      <c r="T49" s="1027">
        <f t="shared" si="4"/>
        <v>18.793290246219176</v>
      </c>
      <c r="U49" s="884">
        <f t="shared" si="2"/>
        <v>0</v>
      </c>
    </row>
    <row r="50" spans="1:21" s="438" customFormat="1" ht="24.75" customHeight="1">
      <c r="A50" s="761">
        <v>4.2</v>
      </c>
      <c r="B50" s="1021" t="s">
        <v>720</v>
      </c>
      <c r="C50" s="837">
        <f t="shared" si="10"/>
        <v>17084006</v>
      </c>
      <c r="D50" s="1022">
        <v>2250375</v>
      </c>
      <c r="E50" s="1022">
        <v>14833631</v>
      </c>
      <c r="F50" s="1023">
        <v>198700</v>
      </c>
      <c r="G50" s="1023">
        <v>0</v>
      </c>
      <c r="H50" s="837">
        <f t="shared" si="11"/>
        <v>16885306</v>
      </c>
      <c r="I50" s="837">
        <f t="shared" si="12"/>
        <v>6767414</v>
      </c>
      <c r="J50" s="1022">
        <v>1147255</v>
      </c>
      <c r="K50" s="1022">
        <v>119150</v>
      </c>
      <c r="L50" s="1022">
        <v>0</v>
      </c>
      <c r="M50" s="1022">
        <v>5461546</v>
      </c>
      <c r="N50" s="1022">
        <v>0</v>
      </c>
      <c r="O50" s="1022">
        <v>0</v>
      </c>
      <c r="P50" s="1022">
        <v>0</v>
      </c>
      <c r="Q50" s="1024">
        <v>39463</v>
      </c>
      <c r="R50" s="1025">
        <v>10117892</v>
      </c>
      <c r="S50" s="1026">
        <f t="shared" si="15"/>
        <v>15618901</v>
      </c>
      <c r="T50" s="1027">
        <f t="shared" si="4"/>
        <v>18.713278070471233</v>
      </c>
      <c r="U50" s="884">
        <f t="shared" si="2"/>
        <v>0</v>
      </c>
    </row>
    <row r="51" spans="1:21" s="438" customFormat="1" ht="24.75" customHeight="1">
      <c r="A51" s="761">
        <v>4.3</v>
      </c>
      <c r="B51" s="1021" t="s">
        <v>715</v>
      </c>
      <c r="C51" s="837">
        <f t="shared" si="10"/>
        <v>7163233</v>
      </c>
      <c r="D51" s="1022">
        <v>5176633</v>
      </c>
      <c r="E51" s="1022">
        <v>1986600</v>
      </c>
      <c r="F51" s="1023">
        <v>850</v>
      </c>
      <c r="G51" s="1023">
        <v>0</v>
      </c>
      <c r="H51" s="837">
        <f t="shared" si="11"/>
        <v>7162383</v>
      </c>
      <c r="I51" s="837">
        <f t="shared" si="12"/>
        <v>6877669</v>
      </c>
      <c r="J51" s="1022">
        <v>306024</v>
      </c>
      <c r="K51" s="1022">
        <v>3911182</v>
      </c>
      <c r="L51" s="1022">
        <v>0</v>
      </c>
      <c r="M51" s="1022">
        <v>2660463</v>
      </c>
      <c r="N51" s="1022">
        <v>0</v>
      </c>
      <c r="O51" s="1022">
        <v>0</v>
      </c>
      <c r="P51" s="1022">
        <v>0</v>
      </c>
      <c r="Q51" s="1024">
        <v>0</v>
      </c>
      <c r="R51" s="1025">
        <v>284714</v>
      </c>
      <c r="S51" s="1026">
        <f t="shared" si="15"/>
        <v>2945177</v>
      </c>
      <c r="T51" s="1027">
        <f t="shared" si="4"/>
        <v>61.31737366250106</v>
      </c>
      <c r="U51" s="884">
        <f t="shared" si="2"/>
        <v>0</v>
      </c>
    </row>
    <row r="52" spans="1:21" s="438" customFormat="1" ht="24.75" customHeight="1" thickBot="1">
      <c r="A52" s="762">
        <v>4.5</v>
      </c>
      <c r="B52" s="1029" t="s">
        <v>722</v>
      </c>
      <c r="C52" s="1030">
        <f t="shared" si="10"/>
        <v>3744945</v>
      </c>
      <c r="D52" s="1031">
        <v>971427</v>
      </c>
      <c r="E52" s="1031">
        <v>2773518</v>
      </c>
      <c r="F52" s="1032">
        <v>859690</v>
      </c>
      <c r="G52" s="1032">
        <v>22285012</v>
      </c>
      <c r="H52" s="1030">
        <f t="shared" si="11"/>
        <v>2885255</v>
      </c>
      <c r="I52" s="1030">
        <f t="shared" si="12"/>
        <v>2676565</v>
      </c>
      <c r="J52" s="1031">
        <v>827315</v>
      </c>
      <c r="K52" s="1031">
        <v>152000</v>
      </c>
      <c r="L52" s="1031">
        <v>0</v>
      </c>
      <c r="M52" s="1031">
        <v>1536708</v>
      </c>
      <c r="N52" s="1031">
        <v>160542</v>
      </c>
      <c r="O52" s="1031">
        <v>0</v>
      </c>
      <c r="P52" s="1031">
        <v>0</v>
      </c>
      <c r="Q52" s="1033">
        <v>0</v>
      </c>
      <c r="R52" s="1034">
        <v>208690</v>
      </c>
      <c r="S52" s="1035">
        <f t="shared" si="15"/>
        <v>1905940</v>
      </c>
      <c r="T52" s="1036">
        <f t="shared" si="4"/>
        <v>36.58850055948576</v>
      </c>
      <c r="U52" s="884">
        <f t="shared" si="2"/>
        <v>0</v>
      </c>
    </row>
    <row r="53" spans="1:21" s="438" customFormat="1" ht="24.75" customHeight="1" thickTop="1">
      <c r="A53" s="752" t="s">
        <v>74</v>
      </c>
      <c r="B53" s="842" t="s">
        <v>723</v>
      </c>
      <c r="C53" s="843">
        <f>SUM(C54:C56)</f>
        <v>56248753</v>
      </c>
      <c r="D53" s="843">
        <f aca="true" t="shared" si="18" ref="D53:R53">SUM(D54:D56)</f>
        <v>23012603</v>
      </c>
      <c r="E53" s="843">
        <f t="shared" si="18"/>
        <v>33236150</v>
      </c>
      <c r="F53" s="843">
        <f t="shared" si="18"/>
        <v>160090</v>
      </c>
      <c r="G53" s="843">
        <f t="shared" si="18"/>
        <v>0</v>
      </c>
      <c r="H53" s="843">
        <f t="shared" si="18"/>
        <v>56088663</v>
      </c>
      <c r="I53" s="843">
        <f t="shared" si="18"/>
        <v>54077741</v>
      </c>
      <c r="J53" s="843">
        <f t="shared" si="18"/>
        <v>8660423</v>
      </c>
      <c r="K53" s="843">
        <f t="shared" si="18"/>
        <v>3139182</v>
      </c>
      <c r="L53" s="843">
        <f t="shared" si="18"/>
        <v>8790</v>
      </c>
      <c r="M53" s="843">
        <f t="shared" si="18"/>
        <v>39930950</v>
      </c>
      <c r="N53" s="843">
        <f t="shared" si="18"/>
        <v>2200354</v>
      </c>
      <c r="O53" s="843">
        <f t="shared" si="18"/>
        <v>0</v>
      </c>
      <c r="P53" s="843">
        <f t="shared" si="18"/>
        <v>0</v>
      </c>
      <c r="Q53" s="843">
        <f t="shared" si="18"/>
        <v>138042</v>
      </c>
      <c r="R53" s="843">
        <f t="shared" si="18"/>
        <v>2010922</v>
      </c>
      <c r="S53" s="845">
        <f t="shared" si="15"/>
        <v>44280268</v>
      </c>
      <c r="T53" s="844">
        <f t="shared" si="4"/>
        <v>21.83596204582584</v>
      </c>
      <c r="U53" s="884">
        <f t="shared" si="2"/>
        <v>0</v>
      </c>
    </row>
    <row r="54" spans="1:21" s="438" customFormat="1" ht="24.75" customHeight="1">
      <c r="A54" s="761">
        <v>5.1</v>
      </c>
      <c r="B54" s="1021" t="s">
        <v>724</v>
      </c>
      <c r="C54" s="837">
        <f t="shared" si="10"/>
        <v>15768707</v>
      </c>
      <c r="D54" s="1022">
        <v>7519101</v>
      </c>
      <c r="E54" s="1022">
        <v>8249606</v>
      </c>
      <c r="F54" s="1023">
        <v>3390</v>
      </c>
      <c r="G54" s="1023">
        <v>0</v>
      </c>
      <c r="H54" s="837">
        <f t="shared" si="11"/>
        <v>15765317</v>
      </c>
      <c r="I54" s="837">
        <f t="shared" si="12"/>
        <v>15076122</v>
      </c>
      <c r="J54" s="1022">
        <v>3832447</v>
      </c>
      <c r="K54" s="1022">
        <v>1045439</v>
      </c>
      <c r="L54" s="1022">
        <v>0</v>
      </c>
      <c r="M54" s="1022">
        <v>10198236</v>
      </c>
      <c r="N54" s="1022">
        <v>0</v>
      </c>
      <c r="O54" s="1022">
        <v>0</v>
      </c>
      <c r="P54" s="1022">
        <v>0</v>
      </c>
      <c r="Q54" s="1024">
        <v>0</v>
      </c>
      <c r="R54" s="840">
        <v>689195</v>
      </c>
      <c r="S54" s="1026">
        <f t="shared" si="15"/>
        <v>10887431</v>
      </c>
      <c r="T54" s="1027">
        <f t="shared" si="4"/>
        <v>32.35504461956463</v>
      </c>
      <c r="U54" s="884">
        <f t="shared" si="2"/>
        <v>0</v>
      </c>
    </row>
    <row r="55" spans="1:21" s="438" customFormat="1" ht="24.75" customHeight="1">
      <c r="A55" s="761">
        <v>5.2</v>
      </c>
      <c r="B55" s="1021" t="s">
        <v>725</v>
      </c>
      <c r="C55" s="837">
        <f t="shared" si="10"/>
        <v>14550370</v>
      </c>
      <c r="D55" s="1022">
        <v>7789769</v>
      </c>
      <c r="E55" s="1022">
        <v>6760601</v>
      </c>
      <c r="F55" s="1023">
        <v>6500</v>
      </c>
      <c r="G55" s="1023">
        <v>0</v>
      </c>
      <c r="H55" s="837">
        <f t="shared" si="11"/>
        <v>14543870</v>
      </c>
      <c r="I55" s="837">
        <f t="shared" si="12"/>
        <v>14110419</v>
      </c>
      <c r="J55" s="1022">
        <v>2479212</v>
      </c>
      <c r="K55" s="1022">
        <v>1553699</v>
      </c>
      <c r="L55" s="1022">
        <v>8790</v>
      </c>
      <c r="M55" s="1022">
        <v>7868364</v>
      </c>
      <c r="N55" s="1022">
        <v>2200354</v>
      </c>
      <c r="O55" s="1022">
        <v>0</v>
      </c>
      <c r="P55" s="1022">
        <v>0</v>
      </c>
      <c r="Q55" s="1024">
        <v>0</v>
      </c>
      <c r="R55" s="840">
        <v>433451</v>
      </c>
      <c r="S55" s="1026">
        <f t="shared" si="15"/>
        <v>10502169</v>
      </c>
      <c r="T55" s="1027">
        <f t="shared" si="4"/>
        <v>28.643380469424756</v>
      </c>
      <c r="U55" s="884">
        <f t="shared" si="2"/>
        <v>0</v>
      </c>
    </row>
    <row r="56" spans="1:21" s="438" customFormat="1" ht="24.75" customHeight="1" thickBot="1">
      <c r="A56" s="762">
        <v>5.3</v>
      </c>
      <c r="B56" s="1047" t="s">
        <v>726</v>
      </c>
      <c r="C56" s="1030">
        <f t="shared" si="10"/>
        <v>25929676</v>
      </c>
      <c r="D56" s="1031">
        <v>7703733</v>
      </c>
      <c r="E56" s="1031">
        <v>18225943</v>
      </c>
      <c r="F56" s="1032">
        <v>150200</v>
      </c>
      <c r="G56" s="1032">
        <v>0</v>
      </c>
      <c r="H56" s="1030">
        <f t="shared" si="11"/>
        <v>25779476</v>
      </c>
      <c r="I56" s="1030">
        <f t="shared" si="12"/>
        <v>24891200</v>
      </c>
      <c r="J56" s="1031">
        <v>2348764</v>
      </c>
      <c r="K56" s="1031">
        <v>540044</v>
      </c>
      <c r="L56" s="1031">
        <v>0</v>
      </c>
      <c r="M56" s="1031">
        <v>21864350</v>
      </c>
      <c r="N56" s="1031">
        <v>0</v>
      </c>
      <c r="O56" s="1031">
        <v>0</v>
      </c>
      <c r="P56" s="1031">
        <v>0</v>
      </c>
      <c r="Q56" s="1033">
        <v>138042</v>
      </c>
      <c r="R56" s="1057">
        <v>888276</v>
      </c>
      <c r="S56" s="1035">
        <f t="shared" si="15"/>
        <v>22890668</v>
      </c>
      <c r="T56" s="1036">
        <f t="shared" si="4"/>
        <v>11.605740181268882</v>
      </c>
      <c r="U56" s="884">
        <f t="shared" si="2"/>
        <v>0</v>
      </c>
    </row>
    <row r="57" spans="1:21" s="438" customFormat="1" ht="24.75" customHeight="1" thickTop="1">
      <c r="A57" s="752" t="s">
        <v>75</v>
      </c>
      <c r="B57" s="842" t="s">
        <v>727</v>
      </c>
      <c r="C57" s="843">
        <f>SUM(C58:C59)</f>
        <v>15097868</v>
      </c>
      <c r="D57" s="843">
        <f aca="true" t="shared" si="19" ref="D57:R57">SUM(D58:D59)</f>
        <v>4132519</v>
      </c>
      <c r="E57" s="843">
        <f t="shared" si="19"/>
        <v>10965349</v>
      </c>
      <c r="F57" s="843">
        <f t="shared" si="19"/>
        <v>110466</v>
      </c>
      <c r="G57" s="843">
        <f t="shared" si="19"/>
        <v>0</v>
      </c>
      <c r="H57" s="843">
        <f t="shared" si="19"/>
        <v>14987402</v>
      </c>
      <c r="I57" s="843">
        <f t="shared" si="19"/>
        <v>10029168</v>
      </c>
      <c r="J57" s="843">
        <f t="shared" si="19"/>
        <v>2894737</v>
      </c>
      <c r="K57" s="843">
        <f t="shared" si="19"/>
        <v>1141787</v>
      </c>
      <c r="L57" s="843">
        <f t="shared" si="19"/>
        <v>0</v>
      </c>
      <c r="M57" s="843">
        <f t="shared" si="19"/>
        <v>5870257</v>
      </c>
      <c r="N57" s="843">
        <f t="shared" si="19"/>
        <v>81290</v>
      </c>
      <c r="O57" s="843">
        <f t="shared" si="19"/>
        <v>0</v>
      </c>
      <c r="P57" s="843">
        <f t="shared" si="19"/>
        <v>0</v>
      </c>
      <c r="Q57" s="843">
        <f t="shared" si="19"/>
        <v>41097</v>
      </c>
      <c r="R57" s="843">
        <f t="shared" si="19"/>
        <v>4958234</v>
      </c>
      <c r="S57" s="845">
        <f t="shared" si="15"/>
        <v>10950878</v>
      </c>
      <c r="T57" s="844">
        <f t="shared" si="4"/>
        <v>40.24784508545475</v>
      </c>
      <c r="U57" s="884">
        <f t="shared" si="2"/>
        <v>0</v>
      </c>
    </row>
    <row r="58" spans="1:21" s="438" customFormat="1" ht="24.75" customHeight="1">
      <c r="A58" s="761">
        <v>6.1</v>
      </c>
      <c r="B58" s="1058" t="s">
        <v>728</v>
      </c>
      <c r="C58" s="837">
        <f t="shared" si="10"/>
        <v>5408158</v>
      </c>
      <c r="D58" s="1022">
        <v>1023657</v>
      </c>
      <c r="E58" s="1022">
        <v>4384501</v>
      </c>
      <c r="F58" s="1023">
        <v>109866</v>
      </c>
      <c r="G58" s="1023">
        <v>0</v>
      </c>
      <c r="H58" s="837">
        <f t="shared" si="11"/>
        <v>5298292</v>
      </c>
      <c r="I58" s="837">
        <f t="shared" si="12"/>
        <v>1891162</v>
      </c>
      <c r="J58" s="1022">
        <v>667473</v>
      </c>
      <c r="K58" s="1022">
        <v>341123</v>
      </c>
      <c r="L58" s="1022">
        <v>0</v>
      </c>
      <c r="M58" s="1022">
        <v>760179</v>
      </c>
      <c r="N58" s="1022">
        <v>81290</v>
      </c>
      <c r="O58" s="1022">
        <v>0</v>
      </c>
      <c r="P58" s="1022">
        <v>0</v>
      </c>
      <c r="Q58" s="1024">
        <v>41097</v>
      </c>
      <c r="R58" s="840">
        <v>3407130</v>
      </c>
      <c r="S58" s="1026">
        <f t="shared" si="15"/>
        <v>4289696</v>
      </c>
      <c r="T58" s="1027">
        <f t="shared" si="4"/>
        <v>53.332078372979154</v>
      </c>
      <c r="U58" s="884">
        <f t="shared" si="2"/>
        <v>0</v>
      </c>
    </row>
    <row r="59" spans="1:21" s="438" customFormat="1" ht="24.75" customHeight="1" thickBot="1">
      <c r="A59" s="762">
        <v>6.3</v>
      </c>
      <c r="B59" s="1029" t="s">
        <v>729</v>
      </c>
      <c r="C59" s="1030">
        <f t="shared" si="10"/>
        <v>9689710</v>
      </c>
      <c r="D59" s="1031">
        <v>3108862</v>
      </c>
      <c r="E59" s="1031">
        <v>6580848</v>
      </c>
      <c r="F59" s="1032">
        <v>600</v>
      </c>
      <c r="G59" s="1032">
        <v>0</v>
      </c>
      <c r="H59" s="1030">
        <f t="shared" si="11"/>
        <v>9689110</v>
      </c>
      <c r="I59" s="1030">
        <f t="shared" si="12"/>
        <v>8138006</v>
      </c>
      <c r="J59" s="1031">
        <v>2227264</v>
      </c>
      <c r="K59" s="1031">
        <v>800664</v>
      </c>
      <c r="L59" s="1031">
        <v>0</v>
      </c>
      <c r="M59" s="1031">
        <v>5110078</v>
      </c>
      <c r="N59" s="1031">
        <v>0</v>
      </c>
      <c r="O59" s="1031">
        <v>0</v>
      </c>
      <c r="P59" s="1031">
        <v>0</v>
      </c>
      <c r="Q59" s="1033">
        <v>0</v>
      </c>
      <c r="R59" s="1057">
        <v>1551104</v>
      </c>
      <c r="S59" s="1035">
        <f t="shared" si="15"/>
        <v>6661182</v>
      </c>
      <c r="T59" s="1036">
        <f t="shared" si="4"/>
        <v>37.2072470823934</v>
      </c>
      <c r="U59" s="884">
        <f t="shared" si="2"/>
        <v>0</v>
      </c>
    </row>
    <row r="60" spans="1:21" s="438" customFormat="1" ht="21.75" customHeight="1" thickTop="1">
      <c r="A60" s="752" t="s">
        <v>76</v>
      </c>
      <c r="B60" s="842" t="s">
        <v>730</v>
      </c>
      <c r="C60" s="843">
        <f>SUM(C61:C65)</f>
        <v>106571328</v>
      </c>
      <c r="D60" s="843">
        <f aca="true" t="shared" si="20" ref="D60:R60">SUM(D61:D65)</f>
        <v>88766994</v>
      </c>
      <c r="E60" s="843">
        <f t="shared" si="20"/>
        <v>17804334</v>
      </c>
      <c r="F60" s="843">
        <f t="shared" si="20"/>
        <v>1446592</v>
      </c>
      <c r="G60" s="843">
        <f t="shared" si="20"/>
        <v>23771940</v>
      </c>
      <c r="H60" s="843">
        <f t="shared" si="20"/>
        <v>105124736</v>
      </c>
      <c r="I60" s="843">
        <f t="shared" si="20"/>
        <v>87265000</v>
      </c>
      <c r="J60" s="843">
        <f t="shared" si="20"/>
        <v>12837228</v>
      </c>
      <c r="K60" s="843">
        <f t="shared" si="20"/>
        <v>1084426</v>
      </c>
      <c r="L60" s="843">
        <f t="shared" si="20"/>
        <v>0</v>
      </c>
      <c r="M60" s="843">
        <f t="shared" si="20"/>
        <v>73223346</v>
      </c>
      <c r="N60" s="843">
        <f t="shared" si="20"/>
        <v>120000</v>
      </c>
      <c r="O60" s="843">
        <f t="shared" si="20"/>
        <v>0</v>
      </c>
      <c r="P60" s="843">
        <f t="shared" si="20"/>
        <v>0</v>
      </c>
      <c r="Q60" s="843">
        <f t="shared" si="20"/>
        <v>0</v>
      </c>
      <c r="R60" s="843">
        <f t="shared" si="20"/>
        <v>17859736</v>
      </c>
      <c r="S60" s="845">
        <f t="shared" si="15"/>
        <v>91203082</v>
      </c>
      <c r="T60" s="844">
        <f t="shared" si="4"/>
        <v>15.95330774078955</v>
      </c>
      <c r="U60" s="884">
        <f t="shared" si="2"/>
        <v>0</v>
      </c>
    </row>
    <row r="61" spans="1:21" s="438" customFormat="1" ht="22.5" customHeight="1">
      <c r="A61" s="758">
        <v>7.1</v>
      </c>
      <c r="B61" s="1021" t="s">
        <v>731</v>
      </c>
      <c r="C61" s="837">
        <f t="shared" si="10"/>
        <v>7898022</v>
      </c>
      <c r="D61" s="1022">
        <v>6236131</v>
      </c>
      <c r="E61" s="1022">
        <v>1661891</v>
      </c>
      <c r="F61" s="1023">
        <v>0</v>
      </c>
      <c r="G61" s="1023">
        <v>0</v>
      </c>
      <c r="H61" s="837">
        <f t="shared" si="11"/>
        <v>7898022</v>
      </c>
      <c r="I61" s="837">
        <f t="shared" si="12"/>
        <v>3295137</v>
      </c>
      <c r="J61" s="1022">
        <v>323038</v>
      </c>
      <c r="K61" s="1022">
        <v>270804</v>
      </c>
      <c r="L61" s="1022">
        <v>0</v>
      </c>
      <c r="M61" s="1022">
        <v>2701295</v>
      </c>
      <c r="N61" s="1022">
        <v>0</v>
      </c>
      <c r="O61" s="1022">
        <v>0</v>
      </c>
      <c r="P61" s="1022">
        <v>0</v>
      </c>
      <c r="Q61" s="1024">
        <v>0</v>
      </c>
      <c r="R61" s="840">
        <v>4602885</v>
      </c>
      <c r="S61" s="1026">
        <f t="shared" si="15"/>
        <v>7304180</v>
      </c>
      <c r="T61" s="1027">
        <f t="shared" si="4"/>
        <v>18.021769656314746</v>
      </c>
      <c r="U61" s="884">
        <f t="shared" si="2"/>
        <v>0</v>
      </c>
    </row>
    <row r="62" spans="1:21" s="438" customFormat="1" ht="23.25" customHeight="1">
      <c r="A62" s="758">
        <v>7.2</v>
      </c>
      <c r="B62" s="1058" t="s">
        <v>732</v>
      </c>
      <c r="C62" s="837">
        <f t="shared" si="10"/>
        <v>39095570</v>
      </c>
      <c r="D62" s="1022">
        <f>34185561-1178599</f>
        <v>33006962</v>
      </c>
      <c r="E62" s="1022">
        <v>6088608</v>
      </c>
      <c r="F62" s="1023">
        <v>1426987</v>
      </c>
      <c r="G62" s="1023">
        <v>1178599</v>
      </c>
      <c r="H62" s="837">
        <f t="shared" si="11"/>
        <v>37668583</v>
      </c>
      <c r="I62" s="837">
        <f t="shared" si="12"/>
        <v>37585434</v>
      </c>
      <c r="J62" s="1022">
        <v>6021025</v>
      </c>
      <c r="K62" s="1022">
        <v>78400</v>
      </c>
      <c r="L62" s="1022">
        <v>0</v>
      </c>
      <c r="M62" s="1022">
        <v>31486009</v>
      </c>
      <c r="N62" s="1022">
        <v>0</v>
      </c>
      <c r="O62" s="1022">
        <v>0</v>
      </c>
      <c r="P62" s="1022">
        <v>0</v>
      </c>
      <c r="Q62" s="1024">
        <v>0</v>
      </c>
      <c r="R62" s="840">
        <v>83149</v>
      </c>
      <c r="S62" s="1026">
        <f t="shared" si="15"/>
        <v>31569158</v>
      </c>
      <c r="T62" s="1027">
        <f t="shared" si="4"/>
        <v>16.22816168625324</v>
      </c>
      <c r="U62" s="884">
        <f t="shared" si="2"/>
        <v>0</v>
      </c>
    </row>
    <row r="63" spans="1:21" s="438" customFormat="1" ht="23.25" customHeight="1">
      <c r="A63" s="758">
        <v>7.3</v>
      </c>
      <c r="B63" s="1058" t="s">
        <v>733</v>
      </c>
      <c r="C63" s="837">
        <f t="shared" si="10"/>
        <v>17940792</v>
      </c>
      <c r="D63" s="1022">
        <v>14105805</v>
      </c>
      <c r="E63" s="1022">
        <v>3834987</v>
      </c>
      <c r="F63" s="1023">
        <v>18430</v>
      </c>
      <c r="G63" s="1023">
        <v>22593341</v>
      </c>
      <c r="H63" s="837">
        <f t="shared" si="11"/>
        <v>17922362</v>
      </c>
      <c r="I63" s="837">
        <f t="shared" si="12"/>
        <v>10579965</v>
      </c>
      <c r="J63" s="1022">
        <v>945362</v>
      </c>
      <c r="K63" s="1022">
        <v>47222</v>
      </c>
      <c r="L63" s="1022">
        <v>0</v>
      </c>
      <c r="M63" s="1022">
        <v>9467381</v>
      </c>
      <c r="N63" s="1022">
        <v>120000</v>
      </c>
      <c r="O63" s="1022">
        <v>0</v>
      </c>
      <c r="P63" s="1022">
        <v>0</v>
      </c>
      <c r="Q63" s="1024">
        <v>0</v>
      </c>
      <c r="R63" s="840">
        <v>7342397</v>
      </c>
      <c r="S63" s="1026">
        <f t="shared" si="15"/>
        <v>16929778</v>
      </c>
      <c r="T63" s="1027">
        <f t="shared" si="4"/>
        <v>9.381732359228032</v>
      </c>
      <c r="U63" s="884">
        <f t="shared" si="2"/>
        <v>0</v>
      </c>
    </row>
    <row r="64" spans="1:21" s="438" customFormat="1" ht="23.25" customHeight="1">
      <c r="A64" s="758">
        <v>7.4</v>
      </c>
      <c r="B64" s="1021" t="s">
        <v>734</v>
      </c>
      <c r="C64" s="837">
        <f t="shared" si="10"/>
        <v>9025191</v>
      </c>
      <c r="D64" s="1022">
        <v>5142265</v>
      </c>
      <c r="E64" s="1022">
        <v>3882926</v>
      </c>
      <c r="F64" s="1023">
        <v>0</v>
      </c>
      <c r="G64" s="1023">
        <v>0</v>
      </c>
      <c r="H64" s="837">
        <f t="shared" si="11"/>
        <v>9025191</v>
      </c>
      <c r="I64" s="837">
        <f t="shared" si="12"/>
        <v>3215013</v>
      </c>
      <c r="J64" s="1022">
        <v>309200</v>
      </c>
      <c r="K64" s="1022">
        <v>62000</v>
      </c>
      <c r="L64" s="1022">
        <v>0</v>
      </c>
      <c r="M64" s="1022">
        <v>2843813</v>
      </c>
      <c r="N64" s="1022">
        <v>0</v>
      </c>
      <c r="O64" s="1022">
        <v>0</v>
      </c>
      <c r="P64" s="1022">
        <v>0</v>
      </c>
      <c r="Q64" s="1024">
        <v>0</v>
      </c>
      <c r="R64" s="840">
        <v>5810178</v>
      </c>
      <c r="S64" s="1026">
        <f t="shared" si="15"/>
        <v>8653991</v>
      </c>
      <c r="T64" s="1027">
        <f t="shared" si="4"/>
        <v>11.54583200752221</v>
      </c>
      <c r="U64" s="884">
        <f t="shared" si="2"/>
        <v>0</v>
      </c>
    </row>
    <row r="65" spans="1:21" s="438" customFormat="1" ht="24.75" customHeight="1" thickBot="1">
      <c r="A65" s="760">
        <v>7.5</v>
      </c>
      <c r="B65" s="1029" t="s">
        <v>735</v>
      </c>
      <c r="C65" s="1030">
        <f t="shared" si="10"/>
        <v>32611753</v>
      </c>
      <c r="D65" s="1031">
        <v>30275831</v>
      </c>
      <c r="E65" s="1031">
        <v>2335922</v>
      </c>
      <c r="F65" s="1032">
        <v>1175</v>
      </c>
      <c r="G65" s="1032">
        <v>0</v>
      </c>
      <c r="H65" s="1030">
        <f t="shared" si="11"/>
        <v>32610578</v>
      </c>
      <c r="I65" s="1030">
        <f t="shared" si="12"/>
        <v>32589451</v>
      </c>
      <c r="J65" s="1031">
        <v>5238603</v>
      </c>
      <c r="K65" s="1031">
        <v>626000</v>
      </c>
      <c r="L65" s="1031">
        <v>0</v>
      </c>
      <c r="M65" s="1031">
        <v>26724848</v>
      </c>
      <c r="N65" s="1031">
        <v>0</v>
      </c>
      <c r="O65" s="1031">
        <v>0</v>
      </c>
      <c r="P65" s="1031">
        <v>0</v>
      </c>
      <c r="Q65" s="1033">
        <v>0</v>
      </c>
      <c r="R65" s="1057">
        <v>21127</v>
      </c>
      <c r="S65" s="1035">
        <f t="shared" si="15"/>
        <v>26745975</v>
      </c>
      <c r="T65" s="1036">
        <f t="shared" si="4"/>
        <v>17.99540286824715</v>
      </c>
      <c r="U65" s="884">
        <f t="shared" si="2"/>
        <v>0</v>
      </c>
    </row>
    <row r="66" spans="1:21" s="438" customFormat="1" ht="21" customHeight="1" thickTop="1">
      <c r="A66" s="752" t="s">
        <v>77</v>
      </c>
      <c r="B66" s="842" t="s">
        <v>736</v>
      </c>
      <c r="C66" s="843">
        <f>SUM(C67:C70)</f>
        <v>124322719</v>
      </c>
      <c r="D66" s="843">
        <f aca="true" t="shared" si="21" ref="D66:R66">SUM(D67:D70)</f>
        <v>80716162</v>
      </c>
      <c r="E66" s="843">
        <f t="shared" si="21"/>
        <v>43606557</v>
      </c>
      <c r="F66" s="843">
        <f t="shared" si="21"/>
        <v>6380574</v>
      </c>
      <c r="G66" s="843">
        <f t="shared" si="21"/>
        <v>0</v>
      </c>
      <c r="H66" s="843">
        <f t="shared" si="21"/>
        <v>117942145</v>
      </c>
      <c r="I66" s="843">
        <f t="shared" si="21"/>
        <v>85233082</v>
      </c>
      <c r="J66" s="843">
        <f t="shared" si="21"/>
        <v>7274231</v>
      </c>
      <c r="K66" s="843">
        <f t="shared" si="21"/>
        <v>750165</v>
      </c>
      <c r="L66" s="843">
        <f t="shared" si="21"/>
        <v>0</v>
      </c>
      <c r="M66" s="843">
        <f t="shared" si="21"/>
        <v>51637368</v>
      </c>
      <c r="N66" s="843">
        <f t="shared" si="21"/>
        <v>56002</v>
      </c>
      <c r="O66" s="843">
        <f t="shared" si="21"/>
        <v>0</v>
      </c>
      <c r="P66" s="843">
        <f t="shared" si="21"/>
        <v>0</v>
      </c>
      <c r="Q66" s="843">
        <f t="shared" si="21"/>
        <v>25515316</v>
      </c>
      <c r="R66" s="843">
        <f t="shared" si="21"/>
        <v>32709063</v>
      </c>
      <c r="S66" s="845">
        <f t="shared" si="15"/>
        <v>109917749</v>
      </c>
      <c r="T66" s="844">
        <f t="shared" si="4"/>
        <v>9.414649584066431</v>
      </c>
      <c r="U66" s="884">
        <f t="shared" si="2"/>
        <v>0</v>
      </c>
    </row>
    <row r="67" spans="1:21" s="438" customFormat="1" ht="24.75" customHeight="1">
      <c r="A67" s="758">
        <v>8.1</v>
      </c>
      <c r="B67" s="1059" t="s">
        <v>737</v>
      </c>
      <c r="C67" s="837">
        <f t="shared" si="10"/>
        <v>855618</v>
      </c>
      <c r="D67" s="1022">
        <v>0</v>
      </c>
      <c r="E67" s="1022">
        <v>855618</v>
      </c>
      <c r="F67" s="1023">
        <v>174919</v>
      </c>
      <c r="G67" s="1023">
        <v>0</v>
      </c>
      <c r="H67" s="837">
        <f t="shared" si="11"/>
        <v>680699</v>
      </c>
      <c r="I67" s="837">
        <f t="shared" si="12"/>
        <v>311117</v>
      </c>
      <c r="J67" s="1022">
        <v>189117</v>
      </c>
      <c r="K67" s="1022">
        <v>122000</v>
      </c>
      <c r="L67" s="1022">
        <v>0</v>
      </c>
      <c r="M67" s="1022">
        <v>0</v>
      </c>
      <c r="N67" s="1022">
        <v>0</v>
      </c>
      <c r="O67" s="1022">
        <v>0</v>
      </c>
      <c r="P67" s="1022">
        <v>0</v>
      </c>
      <c r="Q67" s="1024">
        <v>0</v>
      </c>
      <c r="R67" s="840">
        <v>369582</v>
      </c>
      <c r="S67" s="1026">
        <f t="shared" si="15"/>
        <v>369582</v>
      </c>
      <c r="T67" s="1027">
        <f t="shared" si="4"/>
        <v>100</v>
      </c>
      <c r="U67" s="884">
        <f t="shared" si="2"/>
        <v>0</v>
      </c>
    </row>
    <row r="68" spans="1:21" s="438" customFormat="1" ht="24.75" customHeight="1">
      <c r="A68" s="758">
        <v>8.2</v>
      </c>
      <c r="B68" s="1059" t="s">
        <v>738</v>
      </c>
      <c r="C68" s="837">
        <f t="shared" si="10"/>
        <v>42491705</v>
      </c>
      <c r="D68" s="1022">
        <v>26936936</v>
      </c>
      <c r="E68" s="1022">
        <v>15554769</v>
      </c>
      <c r="F68" s="1023">
        <v>700</v>
      </c>
      <c r="G68" s="1023">
        <v>0</v>
      </c>
      <c r="H68" s="837">
        <f t="shared" si="11"/>
        <v>42491005</v>
      </c>
      <c r="I68" s="837">
        <f t="shared" si="12"/>
        <v>23300220</v>
      </c>
      <c r="J68" s="1022">
        <v>2672439</v>
      </c>
      <c r="K68" s="1022">
        <v>88020</v>
      </c>
      <c r="L68" s="1022">
        <v>0</v>
      </c>
      <c r="M68" s="1022">
        <v>20483761</v>
      </c>
      <c r="N68" s="1022">
        <v>56000</v>
      </c>
      <c r="O68" s="1022">
        <v>0</v>
      </c>
      <c r="P68" s="1022">
        <v>0</v>
      </c>
      <c r="Q68" s="1024">
        <v>0</v>
      </c>
      <c r="R68" s="840">
        <v>19190785</v>
      </c>
      <c r="S68" s="1026">
        <f t="shared" si="15"/>
        <v>39730546</v>
      </c>
      <c r="T68" s="1027">
        <f t="shared" si="4"/>
        <v>11.847351655907111</v>
      </c>
      <c r="U68" s="884">
        <f t="shared" si="2"/>
        <v>0</v>
      </c>
    </row>
    <row r="69" spans="1:21" s="438" customFormat="1" ht="24.75" customHeight="1">
      <c r="A69" s="758">
        <v>8.3</v>
      </c>
      <c r="B69" s="1060" t="s">
        <v>739</v>
      </c>
      <c r="C69" s="837">
        <f t="shared" si="10"/>
        <v>20502645</v>
      </c>
      <c r="D69" s="1022">
        <v>17597040</v>
      </c>
      <c r="E69" s="1022">
        <v>2905605</v>
      </c>
      <c r="F69" s="1023">
        <v>109553</v>
      </c>
      <c r="G69" s="1023">
        <v>0</v>
      </c>
      <c r="H69" s="837">
        <f t="shared" si="11"/>
        <v>20393092</v>
      </c>
      <c r="I69" s="837">
        <f t="shared" si="12"/>
        <v>7428156</v>
      </c>
      <c r="J69" s="1022">
        <v>216691</v>
      </c>
      <c r="K69" s="1022">
        <v>10000</v>
      </c>
      <c r="L69" s="1022">
        <v>0</v>
      </c>
      <c r="M69" s="1022">
        <v>7201463</v>
      </c>
      <c r="N69" s="1022">
        <v>2</v>
      </c>
      <c r="O69" s="1022">
        <v>0</v>
      </c>
      <c r="P69" s="1022">
        <v>0</v>
      </c>
      <c r="Q69" s="1024">
        <v>0</v>
      </c>
      <c r="R69" s="840">
        <v>12964936</v>
      </c>
      <c r="S69" s="1026">
        <f t="shared" si="15"/>
        <v>20166401</v>
      </c>
      <c r="T69" s="1027">
        <f t="shared" si="4"/>
        <v>3.0517802803279848</v>
      </c>
      <c r="U69" s="884">
        <f t="shared" si="2"/>
        <v>0</v>
      </c>
    </row>
    <row r="70" spans="1:21" s="438" customFormat="1" ht="24.75" customHeight="1" thickBot="1">
      <c r="A70" s="760">
        <v>8.4</v>
      </c>
      <c r="B70" s="1054" t="s">
        <v>740</v>
      </c>
      <c r="C70" s="1030">
        <f t="shared" si="10"/>
        <v>60472751</v>
      </c>
      <c r="D70" s="1031">
        <v>36182186</v>
      </c>
      <c r="E70" s="1031">
        <f>25010565-720000</f>
        <v>24290565</v>
      </c>
      <c r="F70" s="1032">
        <v>6095402</v>
      </c>
      <c r="G70" s="1032">
        <v>0</v>
      </c>
      <c r="H70" s="1030">
        <f t="shared" si="11"/>
        <v>54377349</v>
      </c>
      <c r="I70" s="1030">
        <f t="shared" si="12"/>
        <v>54193589</v>
      </c>
      <c r="J70" s="1031">
        <v>4195984</v>
      </c>
      <c r="K70" s="1031">
        <v>530145</v>
      </c>
      <c r="L70" s="1031">
        <v>0</v>
      </c>
      <c r="M70" s="1031">
        <v>23952144</v>
      </c>
      <c r="N70" s="1031">
        <v>0</v>
      </c>
      <c r="O70" s="1031">
        <v>0</v>
      </c>
      <c r="P70" s="1031">
        <v>0</v>
      </c>
      <c r="Q70" s="1033">
        <v>25515316</v>
      </c>
      <c r="R70" s="1057">
        <v>183760</v>
      </c>
      <c r="S70" s="1035">
        <f t="shared" si="15"/>
        <v>49651220</v>
      </c>
      <c r="T70" s="1036">
        <f t="shared" si="4"/>
        <v>8.720826738380438</v>
      </c>
      <c r="U70" s="884">
        <f t="shared" si="2"/>
        <v>0</v>
      </c>
    </row>
    <row r="71" spans="1:21" s="438" customFormat="1" ht="21" customHeight="1" thickTop="1">
      <c r="A71" s="752" t="s">
        <v>78</v>
      </c>
      <c r="B71" s="842" t="s">
        <v>741</v>
      </c>
      <c r="C71" s="843">
        <f>SUM(C72:C74)</f>
        <v>56043450</v>
      </c>
      <c r="D71" s="843">
        <f aca="true" t="shared" si="22" ref="D71:R71">SUM(D72:D74)</f>
        <v>33210336</v>
      </c>
      <c r="E71" s="843">
        <f t="shared" si="22"/>
        <v>22833114</v>
      </c>
      <c r="F71" s="843">
        <f t="shared" si="22"/>
        <v>1399457</v>
      </c>
      <c r="G71" s="843">
        <f t="shared" si="22"/>
        <v>0</v>
      </c>
      <c r="H71" s="843">
        <f t="shared" si="22"/>
        <v>54643993</v>
      </c>
      <c r="I71" s="843">
        <f t="shared" si="22"/>
        <v>31009601</v>
      </c>
      <c r="J71" s="843">
        <f t="shared" si="22"/>
        <v>3971375</v>
      </c>
      <c r="K71" s="843">
        <f t="shared" si="22"/>
        <v>460509</v>
      </c>
      <c r="L71" s="843">
        <f t="shared" si="22"/>
        <v>0</v>
      </c>
      <c r="M71" s="843">
        <f t="shared" si="22"/>
        <v>26064634</v>
      </c>
      <c r="N71" s="843">
        <f t="shared" si="22"/>
        <v>513083</v>
      </c>
      <c r="O71" s="843">
        <f t="shared" si="22"/>
        <v>0</v>
      </c>
      <c r="P71" s="843">
        <f t="shared" si="22"/>
        <v>0</v>
      </c>
      <c r="Q71" s="843">
        <f t="shared" si="22"/>
        <v>0</v>
      </c>
      <c r="R71" s="843">
        <f t="shared" si="22"/>
        <v>23634392</v>
      </c>
      <c r="S71" s="845">
        <f t="shared" si="15"/>
        <v>50212109</v>
      </c>
      <c r="T71" s="844">
        <f t="shared" si="4"/>
        <v>14.291973637455058</v>
      </c>
      <c r="U71" s="884">
        <f t="shared" si="2"/>
        <v>0</v>
      </c>
    </row>
    <row r="72" spans="1:21" s="438" customFormat="1" ht="22.5" customHeight="1">
      <c r="A72" s="758">
        <v>9.1</v>
      </c>
      <c r="B72" s="1021" t="s">
        <v>742</v>
      </c>
      <c r="C72" s="837">
        <f t="shared" si="10"/>
        <v>24519475</v>
      </c>
      <c r="D72" s="1022">
        <v>22625443</v>
      </c>
      <c r="E72" s="1022">
        <v>1894032</v>
      </c>
      <c r="F72" s="1023">
        <v>3700</v>
      </c>
      <c r="G72" s="1023">
        <v>0</v>
      </c>
      <c r="H72" s="837">
        <f t="shared" si="11"/>
        <v>24515775</v>
      </c>
      <c r="I72" s="837">
        <f t="shared" si="12"/>
        <v>5290305</v>
      </c>
      <c r="J72" s="1022">
        <v>1350337</v>
      </c>
      <c r="K72" s="1022">
        <v>306327</v>
      </c>
      <c r="L72" s="1022">
        <v>0</v>
      </c>
      <c r="M72" s="1022">
        <v>3621161</v>
      </c>
      <c r="N72" s="1022">
        <v>12480</v>
      </c>
      <c r="O72" s="1022">
        <v>0</v>
      </c>
      <c r="P72" s="1022">
        <v>0</v>
      </c>
      <c r="Q72" s="1024">
        <v>0</v>
      </c>
      <c r="R72" s="840">
        <v>19225470</v>
      </c>
      <c r="S72" s="1026">
        <f t="shared" si="15"/>
        <v>22859111</v>
      </c>
      <c r="T72" s="1027">
        <f t="shared" si="4"/>
        <v>31.315094309307305</v>
      </c>
      <c r="U72" s="884">
        <f t="shared" si="2"/>
        <v>0</v>
      </c>
    </row>
    <row r="73" spans="1:21" s="438" customFormat="1" ht="21.75" customHeight="1">
      <c r="A73" s="763">
        <v>9.2</v>
      </c>
      <c r="B73" s="1021" t="s">
        <v>743</v>
      </c>
      <c r="C73" s="837">
        <f t="shared" si="10"/>
        <v>24749197</v>
      </c>
      <c r="D73" s="1022">
        <v>7356098</v>
      </c>
      <c r="E73" s="1022">
        <v>17393099</v>
      </c>
      <c r="F73" s="1023">
        <v>1309572</v>
      </c>
      <c r="G73" s="1023">
        <v>0</v>
      </c>
      <c r="H73" s="837">
        <f t="shared" si="11"/>
        <v>23439625</v>
      </c>
      <c r="I73" s="837">
        <f t="shared" si="12"/>
        <v>21671740</v>
      </c>
      <c r="J73" s="1022">
        <v>1797738</v>
      </c>
      <c r="K73" s="1022">
        <v>131388</v>
      </c>
      <c r="L73" s="1022">
        <v>0</v>
      </c>
      <c r="M73" s="1022">
        <v>19742614</v>
      </c>
      <c r="N73" s="1022">
        <v>0</v>
      </c>
      <c r="O73" s="1022">
        <v>0</v>
      </c>
      <c r="P73" s="1022">
        <v>0</v>
      </c>
      <c r="Q73" s="1024">
        <v>0</v>
      </c>
      <c r="R73" s="840">
        <v>1767885</v>
      </c>
      <c r="S73" s="1026">
        <f t="shared" si="15"/>
        <v>21510499</v>
      </c>
      <c r="T73" s="1027">
        <f t="shared" si="4"/>
        <v>8.90157412372057</v>
      </c>
      <c r="U73" s="884">
        <f t="shared" si="2"/>
        <v>0</v>
      </c>
    </row>
    <row r="74" spans="1:21" s="438" customFormat="1" ht="21.75" customHeight="1" thickBot="1">
      <c r="A74" s="760">
        <v>9.3</v>
      </c>
      <c r="B74" s="1041" t="s">
        <v>744</v>
      </c>
      <c r="C74" s="1030">
        <f t="shared" si="10"/>
        <v>6774778</v>
      </c>
      <c r="D74" s="1031">
        <v>3228795</v>
      </c>
      <c r="E74" s="1031">
        <v>3545983</v>
      </c>
      <c r="F74" s="1032">
        <v>86185</v>
      </c>
      <c r="G74" s="1032">
        <v>0</v>
      </c>
      <c r="H74" s="1030">
        <f t="shared" si="11"/>
        <v>6688593</v>
      </c>
      <c r="I74" s="1030">
        <f t="shared" si="12"/>
        <v>4047556</v>
      </c>
      <c r="J74" s="1031">
        <v>823300</v>
      </c>
      <c r="K74" s="1031">
        <v>22794</v>
      </c>
      <c r="L74" s="1031">
        <v>0</v>
      </c>
      <c r="M74" s="1031">
        <v>2700859</v>
      </c>
      <c r="N74" s="1031">
        <v>500603</v>
      </c>
      <c r="O74" s="1031">
        <v>0</v>
      </c>
      <c r="P74" s="1031">
        <v>0</v>
      </c>
      <c r="Q74" s="1033">
        <v>0</v>
      </c>
      <c r="R74" s="1057">
        <v>2641037</v>
      </c>
      <c r="S74" s="1035">
        <f t="shared" si="15"/>
        <v>5842499</v>
      </c>
      <c r="T74" s="1036">
        <f t="shared" si="4"/>
        <v>20.90382443133585</v>
      </c>
      <c r="U74" s="884">
        <f t="shared" si="2"/>
        <v>0</v>
      </c>
    </row>
    <row r="75" spans="1:21" s="438" customFormat="1" ht="20.25" customHeight="1" thickTop="1">
      <c r="A75" s="752" t="s">
        <v>101</v>
      </c>
      <c r="B75" s="842" t="s">
        <v>745</v>
      </c>
      <c r="C75" s="843">
        <f>SUM(C76:C77)</f>
        <v>2383378</v>
      </c>
      <c r="D75" s="843">
        <f aca="true" t="shared" si="23" ref="D75:R75">SUM(D76:D77)</f>
        <v>1997404</v>
      </c>
      <c r="E75" s="843">
        <f t="shared" si="23"/>
        <v>385974</v>
      </c>
      <c r="F75" s="843">
        <f t="shared" si="23"/>
        <v>200</v>
      </c>
      <c r="G75" s="843">
        <f t="shared" si="23"/>
        <v>0</v>
      </c>
      <c r="H75" s="843">
        <f t="shared" si="23"/>
        <v>2383178</v>
      </c>
      <c r="I75" s="843">
        <f t="shared" si="23"/>
        <v>1722579</v>
      </c>
      <c r="J75" s="843">
        <f t="shared" si="23"/>
        <v>436666</v>
      </c>
      <c r="K75" s="843">
        <f t="shared" si="23"/>
        <v>166196</v>
      </c>
      <c r="L75" s="843">
        <f t="shared" si="23"/>
        <v>0</v>
      </c>
      <c r="M75" s="843">
        <f t="shared" si="23"/>
        <v>1116117</v>
      </c>
      <c r="N75" s="843">
        <f t="shared" si="23"/>
        <v>3600</v>
      </c>
      <c r="O75" s="843">
        <f t="shared" si="23"/>
        <v>0</v>
      </c>
      <c r="P75" s="843">
        <f t="shared" si="23"/>
        <v>0</v>
      </c>
      <c r="Q75" s="843">
        <f t="shared" si="23"/>
        <v>0</v>
      </c>
      <c r="R75" s="843">
        <f t="shared" si="23"/>
        <v>660599</v>
      </c>
      <c r="S75" s="845">
        <f t="shared" si="15"/>
        <v>1780316</v>
      </c>
      <c r="T75" s="844">
        <f t="shared" si="4"/>
        <v>34.99764016628556</v>
      </c>
      <c r="U75" s="884">
        <f t="shared" si="2"/>
        <v>0</v>
      </c>
    </row>
    <row r="76" spans="1:21" s="438" customFormat="1" ht="23.25" customHeight="1">
      <c r="A76" s="846">
        <v>10.1</v>
      </c>
      <c r="B76" s="1021" t="s">
        <v>746</v>
      </c>
      <c r="C76" s="837">
        <f t="shared" si="10"/>
        <v>271850</v>
      </c>
      <c r="D76" s="1022">
        <v>210560</v>
      </c>
      <c r="E76" s="1022">
        <v>61290</v>
      </c>
      <c r="F76" s="1023">
        <v>200</v>
      </c>
      <c r="G76" s="1023">
        <v>0</v>
      </c>
      <c r="H76" s="837">
        <f t="shared" si="11"/>
        <v>271650</v>
      </c>
      <c r="I76" s="837">
        <f t="shared" si="12"/>
        <v>152878</v>
      </c>
      <c r="J76" s="1022">
        <v>85823</v>
      </c>
      <c r="K76" s="1022">
        <v>0</v>
      </c>
      <c r="L76" s="1022">
        <v>0</v>
      </c>
      <c r="M76" s="1022">
        <v>67055</v>
      </c>
      <c r="N76" s="1022">
        <v>0</v>
      </c>
      <c r="O76" s="1022">
        <v>0</v>
      </c>
      <c r="P76" s="1022">
        <v>0</v>
      </c>
      <c r="Q76" s="1024">
        <v>0</v>
      </c>
      <c r="R76" s="840">
        <v>118772</v>
      </c>
      <c r="S76" s="1026">
        <f t="shared" si="15"/>
        <v>185827</v>
      </c>
      <c r="T76" s="1027">
        <f t="shared" si="4"/>
        <v>56.13822786797316</v>
      </c>
      <c r="U76" s="884">
        <f>R76+I76+F76-C76</f>
        <v>0</v>
      </c>
    </row>
    <row r="77" spans="1:21" s="438" customFormat="1" ht="23.25" customHeight="1" thickBot="1">
      <c r="A77" s="847">
        <v>10.2</v>
      </c>
      <c r="B77" s="1029" t="s">
        <v>747</v>
      </c>
      <c r="C77" s="1030">
        <f t="shared" si="10"/>
        <v>2111528</v>
      </c>
      <c r="D77" s="1031">
        <v>1786844</v>
      </c>
      <c r="E77" s="1031">
        <v>324684</v>
      </c>
      <c r="F77" s="1032">
        <v>0</v>
      </c>
      <c r="G77" s="1032">
        <v>0</v>
      </c>
      <c r="H77" s="1030">
        <f t="shared" si="11"/>
        <v>2111528</v>
      </c>
      <c r="I77" s="1030">
        <f t="shared" si="12"/>
        <v>1569701</v>
      </c>
      <c r="J77" s="1031">
        <v>350843</v>
      </c>
      <c r="K77" s="1031">
        <v>166196</v>
      </c>
      <c r="L77" s="1031">
        <v>0</v>
      </c>
      <c r="M77" s="1031">
        <v>1049062</v>
      </c>
      <c r="N77" s="1031">
        <v>3600</v>
      </c>
      <c r="O77" s="1031">
        <v>0</v>
      </c>
      <c r="P77" s="1031">
        <v>0</v>
      </c>
      <c r="Q77" s="1033">
        <v>0</v>
      </c>
      <c r="R77" s="1057">
        <v>541827</v>
      </c>
      <c r="S77" s="1035">
        <f t="shared" si="15"/>
        <v>1594489</v>
      </c>
      <c r="T77" s="1036">
        <f>(J77+K77+L77)/I77*100</f>
        <v>32.93869341995705</v>
      </c>
      <c r="U77" s="884">
        <f>R77+I77+F77-C77</f>
        <v>0</v>
      </c>
    </row>
    <row r="78" spans="1:20" s="434" customFormat="1" ht="25.5" customHeight="1" thickTop="1">
      <c r="A78" s="1608"/>
      <c r="B78" s="1608"/>
      <c r="C78" s="1608"/>
      <c r="D78" s="1608"/>
      <c r="E78" s="1608"/>
      <c r="F78" s="1079"/>
      <c r="G78" s="1018"/>
      <c r="H78" s="1018"/>
      <c r="I78" s="1018"/>
      <c r="J78" s="1018"/>
      <c r="K78" s="1018"/>
      <c r="L78" s="1018"/>
      <c r="M78" s="1018"/>
      <c r="N78" s="1018"/>
      <c r="O78" s="1515" t="str">
        <f>'Thong tin'!B9</f>
        <v>Bình Thuận, ngày 04 tháng 8 năm 2016</v>
      </c>
      <c r="P78" s="1515"/>
      <c r="Q78" s="1515"/>
      <c r="R78" s="1515"/>
      <c r="S78" s="1515"/>
      <c r="T78" s="1515"/>
    </row>
    <row r="79" spans="1:20" s="496" customFormat="1" ht="19.5" customHeight="1">
      <c r="A79" s="1019"/>
      <c r="B79" s="1562" t="s">
        <v>4</v>
      </c>
      <c r="C79" s="1562"/>
      <c r="D79" s="1562"/>
      <c r="E79" s="1562"/>
      <c r="F79" s="957"/>
      <c r="G79" s="957"/>
      <c r="H79" s="957"/>
      <c r="I79" s="957"/>
      <c r="J79" s="957"/>
      <c r="K79" s="957"/>
      <c r="L79" s="957"/>
      <c r="M79" s="957"/>
      <c r="N79" s="957"/>
      <c r="O79" s="1510" t="str">
        <f>'Thong tin'!B7</f>
        <v>KT. CỤC TRƯỞNG</v>
      </c>
      <c r="P79" s="1510"/>
      <c r="Q79" s="1510"/>
      <c r="R79" s="1510"/>
      <c r="S79" s="1510"/>
      <c r="T79" s="1510"/>
    </row>
    <row r="80" spans="1:20" ht="16.5">
      <c r="A80" s="955"/>
      <c r="B80" s="1530"/>
      <c r="C80" s="1530"/>
      <c r="D80" s="1530"/>
      <c r="E80" s="939"/>
      <c r="F80" s="939"/>
      <c r="G80" s="939"/>
      <c r="H80" s="939"/>
      <c r="I80" s="939"/>
      <c r="J80" s="939"/>
      <c r="K80" s="939"/>
      <c r="L80" s="939"/>
      <c r="M80" s="939"/>
      <c r="N80" s="939"/>
      <c r="O80" s="1526" t="str">
        <f>'Thong tin'!B8</f>
        <v>PHÓ CỤC TRƯỞNG</v>
      </c>
      <c r="P80" s="1526"/>
      <c r="Q80" s="1526"/>
      <c r="R80" s="1526"/>
      <c r="S80" s="1526"/>
      <c r="T80" s="1526"/>
    </row>
    <row r="81" spans="1:20" ht="16.5">
      <c r="A81" s="955"/>
      <c r="B81" s="955"/>
      <c r="C81" s="955"/>
      <c r="D81" s="939"/>
      <c r="E81" s="939"/>
      <c r="F81" s="939"/>
      <c r="G81" s="939"/>
      <c r="H81" s="939"/>
      <c r="I81" s="939"/>
      <c r="J81" s="939"/>
      <c r="K81" s="939"/>
      <c r="L81" s="939"/>
      <c r="M81" s="939"/>
      <c r="N81" s="939"/>
      <c r="O81" s="939"/>
      <c r="P81" s="939"/>
      <c r="Q81" s="939"/>
      <c r="R81" s="939"/>
      <c r="S81" s="955"/>
      <c r="T81" s="955"/>
    </row>
    <row r="82" spans="1:20" ht="16.5">
      <c r="A82" s="955"/>
      <c r="B82" s="1581"/>
      <c r="C82" s="1581"/>
      <c r="D82" s="1581"/>
      <c r="E82" s="939"/>
      <c r="F82" s="939"/>
      <c r="G82" s="939"/>
      <c r="H82" s="939"/>
      <c r="I82" s="939"/>
      <c r="J82" s="939"/>
      <c r="K82" s="939"/>
      <c r="L82" s="939"/>
      <c r="M82" s="939"/>
      <c r="N82" s="939"/>
      <c r="O82" s="939"/>
      <c r="P82" s="939"/>
      <c r="Q82" s="1581"/>
      <c r="R82" s="1581"/>
      <c r="S82" s="1581"/>
      <c r="T82" s="955"/>
    </row>
    <row r="83" spans="1:20" ht="15.75" customHeight="1">
      <c r="A83" s="1020"/>
      <c r="B83" s="955"/>
      <c r="C83" s="955"/>
      <c r="D83" s="939"/>
      <c r="E83" s="939"/>
      <c r="F83" s="939"/>
      <c r="G83" s="939"/>
      <c r="H83" s="939"/>
      <c r="I83" s="939"/>
      <c r="J83" s="939"/>
      <c r="K83" s="939"/>
      <c r="L83" s="939"/>
      <c r="M83" s="939"/>
      <c r="N83" s="939"/>
      <c r="O83" s="939"/>
      <c r="P83" s="939"/>
      <c r="Q83" s="939"/>
      <c r="R83" s="939"/>
      <c r="S83" s="955"/>
      <c r="T83" s="955"/>
    </row>
    <row r="84" spans="1:20" ht="15.75" customHeight="1">
      <c r="A84" s="955"/>
      <c r="B84" s="1616"/>
      <c r="C84" s="1616"/>
      <c r="D84" s="1616"/>
      <c r="E84" s="1616"/>
      <c r="F84" s="1616"/>
      <c r="G84" s="1616"/>
      <c r="H84" s="1616"/>
      <c r="I84" s="1616"/>
      <c r="J84" s="1616"/>
      <c r="K84" s="1616"/>
      <c r="L84" s="1616"/>
      <c r="M84" s="1616"/>
      <c r="N84" s="1616"/>
      <c r="O84" s="1616"/>
      <c r="P84" s="1616"/>
      <c r="Q84" s="939"/>
      <c r="R84" s="939"/>
      <c r="S84" s="955"/>
      <c r="T84" s="955"/>
    </row>
    <row r="85" spans="1:20" ht="16.5">
      <c r="A85" s="958"/>
      <c r="B85" s="958"/>
      <c r="C85" s="958"/>
      <c r="D85" s="958"/>
      <c r="E85" s="958"/>
      <c r="F85" s="958"/>
      <c r="G85" s="958"/>
      <c r="H85" s="958"/>
      <c r="I85" s="958"/>
      <c r="J85" s="958"/>
      <c r="K85" s="958"/>
      <c r="L85" s="958"/>
      <c r="M85" s="958"/>
      <c r="N85" s="958"/>
      <c r="O85" s="958"/>
      <c r="P85" s="958"/>
      <c r="Q85" s="958"/>
      <c r="R85" s="955"/>
      <c r="S85" s="955"/>
      <c r="T85" s="955"/>
    </row>
    <row r="86" spans="1:20" ht="16.5">
      <c r="A86" s="955"/>
      <c r="B86" s="1526" t="str">
        <f>'Thong tin'!B5</f>
        <v>Trần Quốc Bảo</v>
      </c>
      <c r="C86" s="1526"/>
      <c r="D86" s="1526"/>
      <c r="E86" s="1526"/>
      <c r="F86" s="955"/>
      <c r="G86" s="955"/>
      <c r="H86" s="955"/>
      <c r="I86" s="955"/>
      <c r="J86" s="955"/>
      <c r="K86" s="955"/>
      <c r="L86" s="955"/>
      <c r="M86" s="955"/>
      <c r="N86" s="955"/>
      <c r="O86" s="1526" t="str">
        <f>'Thong tin'!B6</f>
        <v>Trần Nam</v>
      </c>
      <c r="P86" s="1526"/>
      <c r="Q86" s="1526"/>
      <c r="R86" s="1526"/>
      <c r="S86" s="1526"/>
      <c r="T86" s="1526"/>
    </row>
    <row r="87" spans="2:20" ht="18.75">
      <c r="B87" s="1614"/>
      <c r="C87" s="1614"/>
      <c r="D87" s="1614"/>
      <c r="E87" s="1614"/>
      <c r="F87" s="438"/>
      <c r="G87" s="438"/>
      <c r="H87" s="438"/>
      <c r="I87" s="438"/>
      <c r="J87" s="438"/>
      <c r="K87" s="438"/>
      <c r="L87" s="438"/>
      <c r="M87" s="438"/>
      <c r="N87" s="438"/>
      <c r="O87" s="438"/>
      <c r="P87" s="1614"/>
      <c r="Q87" s="1614"/>
      <c r="R87" s="1614"/>
      <c r="S87" s="1614"/>
      <c r="T87" s="1615"/>
    </row>
  </sheetData>
  <sheetProtection/>
  <mergeCells count="39">
    <mergeCell ref="B87:E87"/>
    <mergeCell ref="P87:T87"/>
    <mergeCell ref="B86:E86"/>
    <mergeCell ref="B84:P84"/>
    <mergeCell ref="O86:T86"/>
    <mergeCell ref="A3:D3"/>
    <mergeCell ref="A78:E78"/>
    <mergeCell ref="Q82:S82"/>
    <mergeCell ref="B82:D82"/>
    <mergeCell ref="A11:B11"/>
    <mergeCell ref="A6:B9"/>
    <mergeCell ref="C6:E6"/>
    <mergeCell ref="C7:C9"/>
    <mergeCell ref="B79:E79"/>
    <mergeCell ref="A10:B10"/>
    <mergeCell ref="A2:D2"/>
    <mergeCell ref="Q2:T2"/>
    <mergeCell ref="Q4:T4"/>
    <mergeCell ref="O80:T80"/>
    <mergeCell ref="B80:D80"/>
    <mergeCell ref="O79:T79"/>
    <mergeCell ref="T6:T9"/>
    <mergeCell ref="I7:Q7"/>
    <mergeCell ref="O78:T78"/>
    <mergeCell ref="S6:S9"/>
    <mergeCell ref="E1:P1"/>
    <mergeCell ref="E2:P2"/>
    <mergeCell ref="E3:P3"/>
    <mergeCell ref="F6:F9"/>
    <mergeCell ref="G6:G9"/>
    <mergeCell ref="H6:R6"/>
    <mergeCell ref="Q5:T5"/>
    <mergeCell ref="D7:E7"/>
    <mergeCell ref="D8:D9"/>
    <mergeCell ref="E8:E9"/>
    <mergeCell ref="R7:R9"/>
    <mergeCell ref="I8:I9"/>
    <mergeCell ref="J8:Q8"/>
    <mergeCell ref="H7:H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N39"/>
  <sheetViews>
    <sheetView view="pageBreakPreview" zoomScaleSheetLayoutView="100" zoomScalePageLayoutView="0" workbookViewId="0" topLeftCell="A1">
      <selection activeCell="J27" sqref="J27"/>
    </sheetView>
  </sheetViews>
  <sheetFormatPr defaultColWidth="9.00390625" defaultRowHeight="15.75"/>
  <cols>
    <col min="1" max="1" width="3.75390625" style="518" customWidth="1"/>
    <col min="2" max="2" width="22.125" style="518" customWidth="1"/>
    <col min="3" max="3" width="7.50390625" style="518" customWidth="1"/>
    <col min="4" max="4" width="12.375" style="518" customWidth="1"/>
    <col min="5" max="5" width="8.50390625" style="518" customWidth="1"/>
    <col min="6" max="6" width="12.625" style="518" customWidth="1"/>
    <col min="7" max="7" width="8.00390625" style="518" customWidth="1"/>
    <col min="8" max="8" width="11.25390625" style="518" customWidth="1"/>
    <col min="9" max="9" width="7.125" style="518" customWidth="1"/>
    <col min="10" max="10" width="11.25390625" style="518" customWidth="1"/>
    <col min="11" max="11" width="7.375" style="518" customWidth="1"/>
    <col min="12" max="12" width="10.50390625" style="518" customWidth="1"/>
    <col min="13" max="13" width="6.00390625" style="518" customWidth="1"/>
    <col min="14" max="14" width="10.875" style="518" customWidth="1"/>
    <col min="15" max="16384" width="9.00390625" style="518" customWidth="1"/>
  </cols>
  <sheetData>
    <row r="1" spans="1:14" ht="18" customHeight="1">
      <c r="A1" s="702" t="s">
        <v>36</v>
      </c>
      <c r="B1" s="493"/>
      <c r="C1" s="493"/>
      <c r="D1" s="490"/>
      <c r="E1" s="1617" t="s">
        <v>582</v>
      </c>
      <c r="F1" s="1617"/>
      <c r="G1" s="1617"/>
      <c r="H1" s="1617"/>
      <c r="I1" s="1617"/>
      <c r="J1" s="1617"/>
      <c r="K1" s="1617"/>
      <c r="L1" s="517" t="s">
        <v>583</v>
      </c>
      <c r="M1" s="517"/>
      <c r="N1" s="517"/>
    </row>
    <row r="2" spans="1:14" ht="15.75" customHeight="1">
      <c r="A2" s="1601" t="s">
        <v>342</v>
      </c>
      <c r="B2" s="1601"/>
      <c r="C2" s="1601"/>
      <c r="D2" s="1601"/>
      <c r="E2" s="1617"/>
      <c r="F2" s="1617"/>
      <c r="G2" s="1617"/>
      <c r="H2" s="1617"/>
      <c r="I2" s="1617"/>
      <c r="J2" s="1617"/>
      <c r="K2" s="1617"/>
      <c r="L2" s="1618" t="str">
        <f>'Thong tin'!B4</f>
        <v>Cục THADS tỉnh Bình Thuận</v>
      </c>
      <c r="M2" s="1618"/>
      <c r="N2" s="1618"/>
    </row>
    <row r="3" spans="1:14" ht="16.5" customHeight="1">
      <c r="A3" s="1607" t="s">
        <v>343</v>
      </c>
      <c r="B3" s="1607"/>
      <c r="C3" s="1607"/>
      <c r="D3" s="1607"/>
      <c r="E3" s="1619" t="str">
        <f>'Thong tin'!B3</f>
        <v>10 tháng / năm 2016</v>
      </c>
      <c r="F3" s="1619"/>
      <c r="G3" s="1619"/>
      <c r="H3" s="1619"/>
      <c r="I3" s="1619"/>
      <c r="J3" s="1619"/>
      <c r="K3" s="520"/>
      <c r="L3" s="1620" t="s">
        <v>652</v>
      </c>
      <c r="M3" s="1620"/>
      <c r="N3" s="1620"/>
    </row>
    <row r="4" spans="1:14" ht="15.75" customHeight="1">
      <c r="A4" s="492" t="s">
        <v>217</v>
      </c>
      <c r="B4" s="456"/>
      <c r="C4" s="456"/>
      <c r="D4" s="456"/>
      <c r="E4" s="522"/>
      <c r="F4" s="523"/>
      <c r="G4" s="523"/>
      <c r="H4" s="523"/>
      <c r="I4" s="523"/>
      <c r="J4" s="523"/>
      <c r="L4" s="1621" t="s">
        <v>410</v>
      </c>
      <c r="M4" s="1621"/>
      <c r="N4" s="1621"/>
    </row>
    <row r="5" spans="1:14" ht="18" customHeight="1">
      <c r="A5" s="523"/>
      <c r="D5" s="1622"/>
      <c r="E5" s="1622"/>
      <c r="F5" s="1622"/>
      <c r="G5" s="1622"/>
      <c r="H5" s="1622"/>
      <c r="I5" s="1622"/>
      <c r="J5" s="1622"/>
      <c r="K5" s="1622"/>
      <c r="L5" s="524" t="s">
        <v>363</v>
      </c>
      <c r="M5" s="524"/>
      <c r="N5" s="524"/>
    </row>
    <row r="6" spans="1:14" ht="18" customHeight="1">
      <c r="A6" s="1623" t="s">
        <v>72</v>
      </c>
      <c r="B6" s="1624"/>
      <c r="C6" s="1627" t="s">
        <v>364</v>
      </c>
      <c r="D6" s="1627"/>
      <c r="E6" s="1627"/>
      <c r="F6" s="1627"/>
      <c r="G6" s="1628" t="s">
        <v>7</v>
      </c>
      <c r="H6" s="1629"/>
      <c r="I6" s="1629"/>
      <c r="J6" s="1629"/>
      <c r="K6" s="1629"/>
      <c r="L6" s="1629"/>
      <c r="M6" s="1629"/>
      <c r="N6" s="1630"/>
    </row>
    <row r="7" spans="1:14" ht="33" customHeight="1">
      <c r="A7" s="1625"/>
      <c r="B7" s="1626"/>
      <c r="C7" s="1627"/>
      <c r="D7" s="1627"/>
      <c r="E7" s="1627"/>
      <c r="F7" s="1627"/>
      <c r="G7" s="1628" t="s">
        <v>366</v>
      </c>
      <c r="H7" s="1629"/>
      <c r="I7" s="1629"/>
      <c r="J7" s="1630"/>
      <c r="K7" s="1628" t="s">
        <v>110</v>
      </c>
      <c r="L7" s="1629"/>
      <c r="M7" s="1629"/>
      <c r="N7" s="1630"/>
    </row>
    <row r="8" spans="1:14" ht="28.5" customHeight="1">
      <c r="A8" s="1625"/>
      <c r="B8" s="1626"/>
      <c r="C8" s="1628" t="s">
        <v>107</v>
      </c>
      <c r="D8" s="1630"/>
      <c r="E8" s="1628" t="s">
        <v>106</v>
      </c>
      <c r="F8" s="1630"/>
      <c r="G8" s="1628" t="s">
        <v>108</v>
      </c>
      <c r="H8" s="1631"/>
      <c r="I8" s="1628" t="s">
        <v>109</v>
      </c>
      <c r="J8" s="1631"/>
      <c r="K8" s="1628" t="s">
        <v>111</v>
      </c>
      <c r="L8" s="1631"/>
      <c r="M8" s="1628" t="s">
        <v>112</v>
      </c>
      <c r="N8" s="1631"/>
    </row>
    <row r="9" spans="1:14" ht="24.75" customHeight="1">
      <c r="A9" s="1625"/>
      <c r="B9" s="1626"/>
      <c r="C9" s="672" t="s">
        <v>3</v>
      </c>
      <c r="D9" s="671" t="s">
        <v>10</v>
      </c>
      <c r="E9" s="671" t="s">
        <v>3</v>
      </c>
      <c r="F9" s="671" t="s">
        <v>10</v>
      </c>
      <c r="G9" s="671" t="s">
        <v>3</v>
      </c>
      <c r="H9" s="671" t="s">
        <v>10</v>
      </c>
      <c r="I9" s="671" t="s">
        <v>3</v>
      </c>
      <c r="J9" s="671" t="s">
        <v>10</v>
      </c>
      <c r="K9" s="671" t="s">
        <v>3</v>
      </c>
      <c r="L9" s="671" t="s">
        <v>10</v>
      </c>
      <c r="M9" s="671" t="s">
        <v>3</v>
      </c>
      <c r="N9" s="671" t="s">
        <v>10</v>
      </c>
    </row>
    <row r="10" spans="1:14" s="526" customFormat="1" ht="18" customHeight="1">
      <c r="A10" s="1632" t="s">
        <v>6</v>
      </c>
      <c r="B10" s="1632"/>
      <c r="C10" s="525">
        <v>1</v>
      </c>
      <c r="D10" s="525">
        <v>2</v>
      </c>
      <c r="E10" s="525">
        <v>3</v>
      </c>
      <c r="F10" s="525">
        <v>4</v>
      </c>
      <c r="G10" s="525">
        <v>5</v>
      </c>
      <c r="H10" s="525">
        <v>6</v>
      </c>
      <c r="I10" s="525">
        <v>7</v>
      </c>
      <c r="J10" s="525">
        <v>8</v>
      </c>
      <c r="K10" s="525">
        <v>9</v>
      </c>
      <c r="L10" s="525">
        <v>10</v>
      </c>
      <c r="M10" s="525">
        <v>11</v>
      </c>
      <c r="N10" s="525">
        <v>12</v>
      </c>
    </row>
    <row r="11" spans="1:14" s="526" customFormat="1" ht="21" customHeight="1">
      <c r="A11" s="1633" t="s">
        <v>38</v>
      </c>
      <c r="B11" s="1634"/>
      <c r="C11" s="833">
        <f>C12+C13</f>
        <v>56</v>
      </c>
      <c r="D11" s="833">
        <f aca="true" t="shared" si="0" ref="D11:N11">D12+D13</f>
        <v>111779</v>
      </c>
      <c r="E11" s="833">
        <f t="shared" si="0"/>
        <v>50</v>
      </c>
      <c r="F11" s="833">
        <f t="shared" si="0"/>
        <v>103488</v>
      </c>
      <c r="G11" s="833">
        <f t="shared" si="0"/>
        <v>53</v>
      </c>
      <c r="H11" s="833">
        <f t="shared" si="0"/>
        <v>100012</v>
      </c>
      <c r="I11" s="833">
        <f t="shared" si="0"/>
        <v>48</v>
      </c>
      <c r="J11" s="833">
        <f t="shared" si="0"/>
        <v>94698</v>
      </c>
      <c r="K11" s="833">
        <f t="shared" si="0"/>
        <v>3</v>
      </c>
      <c r="L11" s="833">
        <f t="shared" si="0"/>
        <v>11767</v>
      </c>
      <c r="M11" s="833">
        <f t="shared" si="0"/>
        <v>2</v>
      </c>
      <c r="N11" s="833">
        <f t="shared" si="0"/>
        <v>8790</v>
      </c>
    </row>
    <row r="12" spans="1:14" s="526" customFormat="1" ht="19.5" customHeight="1">
      <c r="A12" s="834" t="s">
        <v>0</v>
      </c>
      <c r="B12" s="1061" t="s">
        <v>683</v>
      </c>
      <c r="C12" s="833">
        <f>G12+K12</f>
        <v>4</v>
      </c>
      <c r="D12" s="1062">
        <f>H12+L12</f>
        <v>6611</v>
      </c>
      <c r="E12" s="833">
        <f>I12+M12</f>
        <v>0</v>
      </c>
      <c r="F12" s="1063">
        <f>J12+N12</f>
        <v>0</v>
      </c>
      <c r="G12" s="1064">
        <v>3</v>
      </c>
      <c r="H12" s="1064">
        <v>3634</v>
      </c>
      <c r="I12" s="1064">
        <v>0</v>
      </c>
      <c r="J12" s="1064">
        <v>0</v>
      </c>
      <c r="K12" s="1064">
        <v>1</v>
      </c>
      <c r="L12" s="1064">
        <v>2977</v>
      </c>
      <c r="M12" s="1064">
        <v>0</v>
      </c>
      <c r="N12" s="1064">
        <v>0</v>
      </c>
    </row>
    <row r="13" spans="1:14" s="526" customFormat="1" ht="21" customHeight="1">
      <c r="A13" s="829" t="s">
        <v>1</v>
      </c>
      <c r="B13" s="1065" t="s">
        <v>19</v>
      </c>
      <c r="C13" s="833">
        <f>C14+C15+C16+C17+C18+C19+C20+C21+C22+C23</f>
        <v>52</v>
      </c>
      <c r="D13" s="833">
        <f aca="true" t="shared" si="1" ref="D13:N13">D14+D15+D16+D17+D18+D19+D20+D21+D22+D23</f>
        <v>105168</v>
      </c>
      <c r="E13" s="833">
        <f t="shared" si="1"/>
        <v>50</v>
      </c>
      <c r="F13" s="833">
        <f t="shared" si="1"/>
        <v>103488</v>
      </c>
      <c r="G13" s="833">
        <f t="shared" si="1"/>
        <v>50</v>
      </c>
      <c r="H13" s="833">
        <f t="shared" si="1"/>
        <v>96378</v>
      </c>
      <c r="I13" s="833">
        <f t="shared" si="1"/>
        <v>48</v>
      </c>
      <c r="J13" s="833">
        <f t="shared" si="1"/>
        <v>94698</v>
      </c>
      <c r="K13" s="833">
        <f t="shared" si="1"/>
        <v>2</v>
      </c>
      <c r="L13" s="833">
        <f t="shared" si="1"/>
        <v>8790</v>
      </c>
      <c r="M13" s="833">
        <f t="shared" si="1"/>
        <v>2</v>
      </c>
      <c r="N13" s="833">
        <f t="shared" si="1"/>
        <v>8790</v>
      </c>
    </row>
    <row r="14" spans="1:14" s="526" customFormat="1" ht="20.25" customHeight="1">
      <c r="A14" s="835" t="s">
        <v>52</v>
      </c>
      <c r="B14" s="793" t="s">
        <v>748</v>
      </c>
      <c r="C14" s="833">
        <f>G14+K14</f>
        <v>8</v>
      </c>
      <c r="D14" s="1062">
        <f>H14+L14</f>
        <v>9627</v>
      </c>
      <c r="E14" s="833">
        <f>I14+M14</f>
        <v>8</v>
      </c>
      <c r="F14" s="1063">
        <f>J14+N14</f>
        <v>9627</v>
      </c>
      <c r="G14" s="1066">
        <v>8</v>
      </c>
      <c r="H14" s="1067">
        <v>9627</v>
      </c>
      <c r="I14" s="1066">
        <v>8</v>
      </c>
      <c r="J14" s="1067">
        <v>9627</v>
      </c>
      <c r="K14" s="1064">
        <v>0</v>
      </c>
      <c r="L14" s="1064">
        <v>0</v>
      </c>
      <c r="M14" s="1064">
        <v>0</v>
      </c>
      <c r="N14" s="1064">
        <v>0</v>
      </c>
    </row>
    <row r="15" spans="1:14" s="526" customFormat="1" ht="20.25" customHeight="1">
      <c r="A15" s="835" t="s">
        <v>53</v>
      </c>
      <c r="B15" s="793" t="s">
        <v>749</v>
      </c>
      <c r="C15" s="833">
        <f aca="true" t="shared" si="2" ref="C15:F23">G15+K15</f>
        <v>0</v>
      </c>
      <c r="D15" s="1062">
        <f t="shared" si="2"/>
        <v>0</v>
      </c>
      <c r="E15" s="833">
        <f t="shared" si="2"/>
        <v>0</v>
      </c>
      <c r="F15" s="1063">
        <f t="shared" si="2"/>
        <v>0</v>
      </c>
      <c r="G15" s="1064">
        <v>0</v>
      </c>
      <c r="H15" s="1064">
        <v>0</v>
      </c>
      <c r="I15" s="1064">
        <v>0</v>
      </c>
      <c r="J15" s="1064">
        <v>0</v>
      </c>
      <c r="K15" s="1064">
        <v>0</v>
      </c>
      <c r="L15" s="1064">
        <v>0</v>
      </c>
      <c r="M15" s="1064">
        <v>0</v>
      </c>
      <c r="N15" s="1064">
        <v>0</v>
      </c>
    </row>
    <row r="16" spans="1:14" s="526" customFormat="1" ht="21" customHeight="1">
      <c r="A16" s="835" t="s">
        <v>58</v>
      </c>
      <c r="B16" s="793" t="s">
        <v>750</v>
      </c>
      <c r="C16" s="833">
        <f t="shared" si="2"/>
        <v>0</v>
      </c>
      <c r="D16" s="1062">
        <f t="shared" si="2"/>
        <v>0</v>
      </c>
      <c r="E16" s="833">
        <f t="shared" si="2"/>
        <v>0</v>
      </c>
      <c r="F16" s="1063">
        <f t="shared" si="2"/>
        <v>0</v>
      </c>
      <c r="G16" s="1068">
        <v>0</v>
      </c>
      <c r="H16" s="1068">
        <v>0</v>
      </c>
      <c r="I16" s="1068">
        <v>0</v>
      </c>
      <c r="J16" s="1068">
        <v>0</v>
      </c>
      <c r="K16" s="1068">
        <v>0</v>
      </c>
      <c r="L16" s="1068">
        <v>0</v>
      </c>
      <c r="M16" s="1068">
        <v>0</v>
      </c>
      <c r="N16" s="1068">
        <v>0</v>
      </c>
    </row>
    <row r="17" spans="1:14" s="526" customFormat="1" ht="20.25" customHeight="1">
      <c r="A17" s="835" t="s">
        <v>73</v>
      </c>
      <c r="B17" s="793" t="s">
        <v>751</v>
      </c>
      <c r="C17" s="833">
        <f t="shared" si="2"/>
        <v>3</v>
      </c>
      <c r="D17" s="1062">
        <f t="shared" si="2"/>
        <v>2157</v>
      </c>
      <c r="E17" s="833">
        <f t="shared" si="2"/>
        <v>3</v>
      </c>
      <c r="F17" s="1063">
        <f t="shared" si="2"/>
        <v>2157</v>
      </c>
      <c r="G17" s="1064">
        <v>3</v>
      </c>
      <c r="H17" s="1064">
        <v>2157</v>
      </c>
      <c r="I17" s="1064">
        <v>3</v>
      </c>
      <c r="J17" s="1064">
        <v>2157</v>
      </c>
      <c r="K17" s="1064">
        <v>0</v>
      </c>
      <c r="L17" s="1064">
        <v>0</v>
      </c>
      <c r="M17" s="1064">
        <v>0</v>
      </c>
      <c r="N17" s="1064">
        <v>0</v>
      </c>
    </row>
    <row r="18" spans="1:14" s="526" customFormat="1" ht="20.25" customHeight="1">
      <c r="A18" s="835" t="s">
        <v>74</v>
      </c>
      <c r="B18" s="793" t="s">
        <v>752</v>
      </c>
      <c r="C18" s="833">
        <f t="shared" si="2"/>
        <v>39</v>
      </c>
      <c r="D18" s="1062">
        <f t="shared" si="2"/>
        <v>91704</v>
      </c>
      <c r="E18" s="833">
        <f t="shared" si="2"/>
        <v>39</v>
      </c>
      <c r="F18" s="1063">
        <f t="shared" si="2"/>
        <v>91704</v>
      </c>
      <c r="G18" s="1064">
        <v>37</v>
      </c>
      <c r="H18" s="1064">
        <v>82914</v>
      </c>
      <c r="I18" s="1064">
        <v>37</v>
      </c>
      <c r="J18" s="1064">
        <v>82914</v>
      </c>
      <c r="K18" s="1064">
        <v>2</v>
      </c>
      <c r="L18" s="1064">
        <v>8790</v>
      </c>
      <c r="M18" s="1064">
        <v>2</v>
      </c>
      <c r="N18" s="1064">
        <v>8790</v>
      </c>
    </row>
    <row r="19" spans="1:14" s="526" customFormat="1" ht="20.25" customHeight="1">
      <c r="A19" s="835" t="s">
        <v>75</v>
      </c>
      <c r="B19" s="793" t="s">
        <v>753</v>
      </c>
      <c r="C19" s="833">
        <f t="shared" si="2"/>
        <v>0</v>
      </c>
      <c r="D19" s="1062">
        <f t="shared" si="2"/>
        <v>0</v>
      </c>
      <c r="E19" s="833">
        <f t="shared" si="2"/>
        <v>0</v>
      </c>
      <c r="F19" s="1063">
        <f t="shared" si="2"/>
        <v>0</v>
      </c>
      <c r="G19" s="1064">
        <v>0</v>
      </c>
      <c r="H19" s="1064">
        <v>0</v>
      </c>
      <c r="I19" s="1064">
        <v>0</v>
      </c>
      <c r="J19" s="1064">
        <v>0</v>
      </c>
      <c r="K19" s="1064">
        <v>0</v>
      </c>
      <c r="L19" s="1064">
        <v>0</v>
      </c>
      <c r="M19" s="1064">
        <v>0</v>
      </c>
      <c r="N19" s="1064">
        <v>0</v>
      </c>
    </row>
    <row r="20" spans="1:14" s="526" customFormat="1" ht="20.25" customHeight="1">
      <c r="A20" s="835" t="s">
        <v>76</v>
      </c>
      <c r="B20" s="793" t="s">
        <v>754</v>
      </c>
      <c r="C20" s="833">
        <f t="shared" si="2"/>
        <v>0</v>
      </c>
      <c r="D20" s="1062">
        <f t="shared" si="2"/>
        <v>0</v>
      </c>
      <c r="E20" s="833">
        <f t="shared" si="2"/>
        <v>0</v>
      </c>
      <c r="F20" s="1063">
        <f t="shared" si="2"/>
        <v>0</v>
      </c>
      <c r="G20" s="1064">
        <v>0</v>
      </c>
      <c r="H20" s="1064">
        <v>0</v>
      </c>
      <c r="I20" s="1064">
        <v>0</v>
      </c>
      <c r="J20" s="1064">
        <v>0</v>
      </c>
      <c r="K20" s="1064">
        <v>0</v>
      </c>
      <c r="L20" s="1064">
        <v>0</v>
      </c>
      <c r="M20" s="1064">
        <v>0</v>
      </c>
      <c r="N20" s="1064">
        <v>0</v>
      </c>
    </row>
    <row r="21" spans="1:14" s="526" customFormat="1" ht="21" customHeight="1">
      <c r="A21" s="835" t="s">
        <v>77</v>
      </c>
      <c r="B21" s="793" t="s">
        <v>755</v>
      </c>
      <c r="C21" s="833">
        <f t="shared" si="2"/>
        <v>0</v>
      </c>
      <c r="D21" s="1062">
        <f t="shared" si="2"/>
        <v>0</v>
      </c>
      <c r="E21" s="833">
        <f t="shared" si="2"/>
        <v>0</v>
      </c>
      <c r="F21" s="1063">
        <f t="shared" si="2"/>
        <v>0</v>
      </c>
      <c r="G21" s="1064">
        <v>0</v>
      </c>
      <c r="H21" s="1064">
        <v>0</v>
      </c>
      <c r="I21" s="1064">
        <v>0</v>
      </c>
      <c r="J21" s="1064">
        <v>0</v>
      </c>
      <c r="K21" s="1064">
        <v>0</v>
      </c>
      <c r="L21" s="1064">
        <v>0</v>
      </c>
      <c r="M21" s="1064">
        <v>0</v>
      </c>
      <c r="N21" s="1064">
        <v>0</v>
      </c>
    </row>
    <row r="22" spans="1:14" s="526" customFormat="1" ht="20.25" customHeight="1">
      <c r="A22" s="835" t="s">
        <v>78</v>
      </c>
      <c r="B22" s="793" t="s">
        <v>756</v>
      </c>
      <c r="C22" s="833">
        <f t="shared" si="2"/>
        <v>0</v>
      </c>
      <c r="D22" s="1062">
        <f t="shared" si="2"/>
        <v>0</v>
      </c>
      <c r="E22" s="833">
        <f t="shared" si="2"/>
        <v>0</v>
      </c>
      <c r="F22" s="1063">
        <f t="shared" si="2"/>
        <v>0</v>
      </c>
      <c r="G22" s="1064">
        <v>0</v>
      </c>
      <c r="H22" s="1064">
        <v>0</v>
      </c>
      <c r="I22" s="1064">
        <v>0</v>
      </c>
      <c r="J22" s="1064">
        <v>0</v>
      </c>
      <c r="K22" s="1064">
        <v>0</v>
      </c>
      <c r="L22" s="1064">
        <v>0</v>
      </c>
      <c r="M22" s="1064">
        <v>0</v>
      </c>
      <c r="N22" s="1064">
        <v>0</v>
      </c>
    </row>
    <row r="23" spans="1:14" s="526" customFormat="1" ht="24.75" customHeight="1" thickBot="1">
      <c r="A23" s="836" t="s">
        <v>101</v>
      </c>
      <c r="B23" s="1069" t="s">
        <v>757</v>
      </c>
      <c r="C23" s="1070">
        <f t="shared" si="2"/>
        <v>2</v>
      </c>
      <c r="D23" s="1071">
        <f t="shared" si="2"/>
        <v>1680</v>
      </c>
      <c r="E23" s="1070">
        <f t="shared" si="2"/>
        <v>0</v>
      </c>
      <c r="F23" s="1072">
        <f t="shared" si="2"/>
        <v>0</v>
      </c>
      <c r="G23" s="1073">
        <v>2</v>
      </c>
      <c r="H23" s="1073">
        <v>1680</v>
      </c>
      <c r="I23" s="1073">
        <v>0</v>
      </c>
      <c r="J23" s="1073">
        <v>0</v>
      </c>
      <c r="K23" s="1073">
        <v>0</v>
      </c>
      <c r="L23" s="1073">
        <v>0</v>
      </c>
      <c r="M23" s="1073">
        <v>0</v>
      </c>
      <c r="N23" s="1073">
        <v>0</v>
      </c>
    </row>
    <row r="24" spans="1:14" s="528" customFormat="1" ht="21" customHeight="1" thickTop="1">
      <c r="A24" s="518"/>
      <c r="B24" s="1638"/>
      <c r="C24" s="1638"/>
      <c r="D24" s="1638"/>
      <c r="E24" s="1638"/>
      <c r="F24" s="1074"/>
      <c r="G24" s="1075"/>
      <c r="H24" s="1075"/>
      <c r="I24" s="1075"/>
      <c r="J24" s="1638" t="str">
        <f>'Thong tin'!B9</f>
        <v>Bình Thuận, ngày 04 tháng 8 năm 2016</v>
      </c>
      <c r="K24" s="1638"/>
      <c r="L24" s="1638"/>
      <c r="M24" s="1638"/>
      <c r="N24" s="1638"/>
    </row>
    <row r="25" spans="1:14" s="530" customFormat="1" ht="18" customHeight="1">
      <c r="A25" s="529"/>
      <c r="B25" s="1635" t="s">
        <v>43</v>
      </c>
      <c r="C25" s="1635"/>
      <c r="D25" s="1635"/>
      <c r="E25" s="1635"/>
      <c r="F25" s="1076"/>
      <c r="G25" s="1077"/>
      <c r="H25" s="1077"/>
      <c r="I25" s="1077"/>
      <c r="J25" s="1635" t="str">
        <f>'Thong tin'!B7</f>
        <v>KT. CỤC TRƯỞNG</v>
      </c>
      <c r="K25" s="1635"/>
      <c r="L25" s="1635"/>
      <c r="M25" s="1635"/>
      <c r="N25" s="1635"/>
    </row>
    <row r="26" spans="1:14" s="530" customFormat="1" ht="16.5" customHeight="1">
      <c r="A26" s="529"/>
      <c r="B26" s="1637"/>
      <c r="C26" s="1637"/>
      <c r="D26" s="1637"/>
      <c r="E26" s="1076"/>
      <c r="F26" s="1076"/>
      <c r="G26" s="1077"/>
      <c r="H26" s="1077"/>
      <c r="I26" s="1077"/>
      <c r="J26" s="1636" t="str">
        <f>'Thong tin'!B8</f>
        <v>PHÓ CỤC TRƯỞNG</v>
      </c>
      <c r="K26" s="1636"/>
      <c r="L26" s="1636"/>
      <c r="M26" s="1636"/>
      <c r="N26" s="1636"/>
    </row>
    <row r="27" spans="1:14" s="530" customFormat="1" ht="24.75" customHeight="1">
      <c r="A27" s="529"/>
      <c r="B27" s="1635"/>
      <c r="C27" s="1635"/>
      <c r="D27" s="1635"/>
      <c r="E27" s="1635"/>
      <c r="F27" s="1076"/>
      <c r="G27" s="1077"/>
      <c r="H27" s="1077"/>
      <c r="I27" s="1077"/>
      <c r="J27" s="1076"/>
      <c r="K27" s="1635"/>
      <c r="L27" s="1635"/>
      <c r="M27" s="1635"/>
      <c r="N27" s="1076"/>
    </row>
    <row r="28" spans="1:14" s="530" customFormat="1" ht="22.5" customHeight="1">
      <c r="A28" s="529"/>
      <c r="B28" s="1076"/>
      <c r="C28" s="1076"/>
      <c r="D28" s="1076"/>
      <c r="E28" s="1076"/>
      <c r="F28" s="1076"/>
      <c r="G28" s="1077"/>
      <c r="H28" s="1077"/>
      <c r="I28" s="1077"/>
      <c r="J28" s="1076"/>
      <c r="K28" s="1076"/>
      <c r="L28" s="1076"/>
      <c r="M28" s="1076"/>
      <c r="N28" s="1076"/>
    </row>
    <row r="29" spans="2:14" ht="24.75" customHeight="1">
      <c r="B29" s="1078"/>
      <c r="C29" s="1078"/>
      <c r="D29" s="1078"/>
      <c r="E29" s="1078"/>
      <c r="F29" s="1078"/>
      <c r="G29" s="1078"/>
      <c r="H29" s="1078"/>
      <c r="I29" s="1078"/>
      <c r="J29" s="1078"/>
      <c r="K29" s="1078"/>
      <c r="L29" s="1078"/>
      <c r="M29" s="1078"/>
      <c r="N29" s="1078"/>
    </row>
    <row r="30" spans="2:14" ht="24.75" customHeight="1">
      <c r="B30" s="1636" t="str">
        <f>'Thong tin'!B5</f>
        <v>Trần Quốc Bảo</v>
      </c>
      <c r="C30" s="1636"/>
      <c r="D30" s="1636"/>
      <c r="E30" s="1636"/>
      <c r="F30" s="1078"/>
      <c r="G30" s="1078"/>
      <c r="H30" s="1078"/>
      <c r="I30" s="1078"/>
      <c r="J30" s="1636" t="str">
        <f>'Thong tin'!B6</f>
        <v>Trần Nam</v>
      </c>
      <c r="K30" s="1636"/>
      <c r="L30" s="1636"/>
      <c r="M30" s="1636"/>
      <c r="N30" s="1636"/>
    </row>
    <row r="31" spans="2:14" ht="18.75">
      <c r="B31" s="534"/>
      <c r="C31" s="532"/>
      <c r="D31" s="532"/>
      <c r="E31" s="532"/>
      <c r="F31" s="532"/>
      <c r="G31" s="532"/>
      <c r="H31" s="532"/>
      <c r="I31" s="532"/>
      <c r="J31" s="532"/>
      <c r="K31" s="532"/>
      <c r="L31" s="532"/>
      <c r="M31" s="532"/>
      <c r="N31" s="532"/>
    </row>
    <row r="32" spans="7:10" ht="15.75">
      <c r="G32" s="535"/>
      <c r="H32" s="535"/>
      <c r="I32" s="535"/>
      <c r="J32" s="535"/>
    </row>
    <row r="33" spans="7:10" ht="15.75">
      <c r="G33" s="535"/>
      <c r="H33" s="535"/>
      <c r="I33" s="535"/>
      <c r="J33" s="535"/>
    </row>
    <row r="34" spans="7:10" ht="15.75">
      <c r="G34" s="535"/>
      <c r="H34" s="535"/>
      <c r="I34" s="535"/>
      <c r="J34" s="535"/>
    </row>
    <row r="35" spans="7:10" ht="15.75">
      <c r="G35" s="535"/>
      <c r="H35" s="535"/>
      <c r="I35" s="535"/>
      <c r="J35" s="535"/>
    </row>
    <row r="36" spans="7:10" ht="15.75">
      <c r="G36" s="535"/>
      <c r="H36" s="535"/>
      <c r="I36" s="535"/>
      <c r="J36" s="535"/>
    </row>
    <row r="37" spans="7:10" ht="15.75">
      <c r="G37" s="535"/>
      <c r="H37" s="535"/>
      <c r="I37" s="535"/>
      <c r="J37" s="535"/>
    </row>
    <row r="38" spans="7:10" ht="15.75">
      <c r="G38" s="535"/>
      <c r="H38" s="535"/>
      <c r="I38" s="535"/>
      <c r="J38" s="535"/>
    </row>
    <row r="39" spans="7:10" ht="15.75">
      <c r="G39" s="535"/>
      <c r="H39" s="535"/>
      <c r="I39" s="535"/>
      <c r="J39" s="535"/>
    </row>
  </sheetData>
  <sheetProtection/>
  <mergeCells count="31">
    <mergeCell ref="B26:D26"/>
    <mergeCell ref="J26:N26"/>
    <mergeCell ref="B24:E24"/>
    <mergeCell ref="J24:N24"/>
    <mergeCell ref="B25:E25"/>
    <mergeCell ref="J25:N25"/>
    <mergeCell ref="B27:E27"/>
    <mergeCell ref="K27:M27"/>
    <mergeCell ref="B30:E30"/>
    <mergeCell ref="J30:N30"/>
    <mergeCell ref="A10:B10"/>
    <mergeCell ref="A11:B11"/>
    <mergeCell ref="G7:J7"/>
    <mergeCell ref="K7:N7"/>
    <mergeCell ref="C8:D8"/>
    <mergeCell ref="E8:F8"/>
    <mergeCell ref="G8:H8"/>
    <mergeCell ref="I8:J8"/>
    <mergeCell ref="K8:L8"/>
    <mergeCell ref="L4:N4"/>
    <mergeCell ref="D5:K5"/>
    <mergeCell ref="A6:B9"/>
    <mergeCell ref="C6:F7"/>
    <mergeCell ref="G6:N6"/>
    <mergeCell ref="M8:N8"/>
    <mergeCell ref="E1:K2"/>
    <mergeCell ref="A2:D2"/>
    <mergeCell ref="L2:N2"/>
    <mergeCell ref="A3:D3"/>
    <mergeCell ref="E3:J3"/>
    <mergeCell ref="L3:N3"/>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P32"/>
  <sheetViews>
    <sheetView view="pageBreakPreview" zoomScaleSheetLayoutView="100" zoomScalePageLayoutView="0" workbookViewId="0" topLeftCell="A1">
      <selection activeCell="K26" sqref="K26"/>
    </sheetView>
  </sheetViews>
  <sheetFormatPr defaultColWidth="9.00390625" defaultRowHeight="15.75"/>
  <cols>
    <col min="1" max="1" width="4.00390625" style="518" customWidth="1"/>
    <col min="2" max="2" width="21.125" style="518" customWidth="1"/>
    <col min="3" max="3" width="10.25390625" style="518" customWidth="1"/>
    <col min="4" max="6" width="7.875" style="518" customWidth="1"/>
    <col min="7" max="7" width="9.25390625" style="518" customWidth="1"/>
    <col min="8" max="8" width="7.25390625" style="518" customWidth="1"/>
    <col min="9" max="10" width="7.875" style="518" customWidth="1"/>
    <col min="11" max="11" width="7.125" style="518" customWidth="1"/>
    <col min="12" max="12" width="7.00390625" style="518" customWidth="1"/>
    <col min="13" max="13" width="7.875" style="518" customWidth="1"/>
    <col min="14" max="14" width="10.25390625" style="518" customWidth="1"/>
    <col min="15" max="16" width="7.875" style="518" customWidth="1"/>
    <col min="17" max="16384" width="9.00390625" style="518" customWidth="1"/>
  </cols>
  <sheetData>
    <row r="1" spans="1:16" ht="19.5" customHeight="1">
      <c r="A1" s="1656" t="s">
        <v>36</v>
      </c>
      <c r="B1" s="1656"/>
      <c r="C1" s="536"/>
      <c r="D1" s="1657" t="s">
        <v>654</v>
      </c>
      <c r="E1" s="1657"/>
      <c r="F1" s="1657"/>
      <c r="G1" s="1657"/>
      <c r="H1" s="1657"/>
      <c r="I1" s="1657"/>
      <c r="J1" s="1657"/>
      <c r="K1" s="1657"/>
      <c r="L1" s="1657"/>
      <c r="M1" s="1647" t="s">
        <v>398</v>
      </c>
      <c r="N1" s="1648"/>
      <c r="O1" s="1648"/>
      <c r="P1" s="1648"/>
    </row>
    <row r="2" spans="1:16" ht="21" customHeight="1">
      <c r="A2" s="1649" t="s">
        <v>342</v>
      </c>
      <c r="B2" s="1650"/>
      <c r="C2" s="1650"/>
      <c r="D2" s="1657"/>
      <c r="E2" s="1657"/>
      <c r="F2" s="1657"/>
      <c r="G2" s="1657"/>
      <c r="H2" s="1657"/>
      <c r="I2" s="1657"/>
      <c r="J2" s="1657"/>
      <c r="K2" s="1657"/>
      <c r="L2" s="1657"/>
      <c r="M2" s="1651" t="str">
        <f>'Thong tin'!B4</f>
        <v>Cục THADS tỉnh Bình Thuận</v>
      </c>
      <c r="N2" s="1652"/>
      <c r="O2" s="1652"/>
      <c r="P2" s="1652"/>
    </row>
    <row r="3" spans="1:13" ht="19.5" customHeight="1">
      <c r="A3" s="675" t="s">
        <v>673</v>
      </c>
      <c r="D3" s="1657"/>
      <c r="E3" s="1657"/>
      <c r="F3" s="1657"/>
      <c r="G3" s="1657"/>
      <c r="H3" s="1657"/>
      <c r="I3" s="1657"/>
      <c r="J3" s="1657"/>
      <c r="K3" s="1657"/>
      <c r="L3" s="1657"/>
      <c r="M3" s="675" t="s">
        <v>655</v>
      </c>
    </row>
    <row r="4" spans="1:16" ht="19.5" customHeight="1">
      <c r="A4" s="1654" t="s">
        <v>400</v>
      </c>
      <c r="B4" s="1654"/>
      <c r="C4" s="1654"/>
      <c r="D4" s="1653" t="str">
        <f>'Thong tin'!B3</f>
        <v>10 tháng / năm 2016</v>
      </c>
      <c r="E4" s="1653"/>
      <c r="F4" s="1653"/>
      <c r="G4" s="1653"/>
      <c r="H4" s="1653"/>
      <c r="I4" s="1653"/>
      <c r="J4" s="1653"/>
      <c r="K4" s="1653"/>
      <c r="L4" s="1653"/>
      <c r="M4" s="1655" t="s">
        <v>401</v>
      </c>
      <c r="N4" s="1655"/>
      <c r="O4" s="1655"/>
      <c r="P4" s="1655"/>
    </row>
    <row r="5" spans="1:16" s="539" customFormat="1" ht="18.75" customHeight="1">
      <c r="A5" s="538"/>
      <c r="B5" s="538"/>
      <c r="D5" s="1653"/>
      <c r="E5" s="1653"/>
      <c r="F5" s="1653"/>
      <c r="G5" s="1653"/>
      <c r="H5" s="1653"/>
      <c r="I5" s="1653"/>
      <c r="J5" s="1653"/>
      <c r="K5" s="1653"/>
      <c r="L5" s="1653"/>
      <c r="M5" s="540" t="s">
        <v>402</v>
      </c>
      <c r="N5" s="541"/>
      <c r="O5" s="541"/>
      <c r="P5" s="541"/>
    </row>
    <row r="6" spans="1:16" ht="37.5" customHeight="1">
      <c r="A6" s="1658" t="s">
        <v>72</v>
      </c>
      <c r="B6" s="1659"/>
      <c r="C6" s="1662" t="s">
        <v>100</v>
      </c>
      <c r="D6" s="1663"/>
      <c r="E6" s="1663"/>
      <c r="F6" s="1663"/>
      <c r="G6" s="1663"/>
      <c r="H6" s="1663"/>
      <c r="I6" s="1663"/>
      <c r="J6" s="1663"/>
      <c r="K6" s="1664" t="s">
        <v>99</v>
      </c>
      <c r="L6" s="1664"/>
      <c r="M6" s="1664"/>
      <c r="N6" s="1664"/>
      <c r="O6" s="1664"/>
      <c r="P6" s="1664"/>
    </row>
    <row r="7" spans="1:16" ht="20.25" customHeight="1">
      <c r="A7" s="1660"/>
      <c r="B7" s="1661"/>
      <c r="C7" s="1662" t="s">
        <v>3</v>
      </c>
      <c r="D7" s="1663"/>
      <c r="E7" s="1663"/>
      <c r="F7" s="1665"/>
      <c r="G7" s="1664" t="s">
        <v>10</v>
      </c>
      <c r="H7" s="1664"/>
      <c r="I7" s="1664"/>
      <c r="J7" s="1664"/>
      <c r="K7" s="1666" t="s">
        <v>3</v>
      </c>
      <c r="L7" s="1666"/>
      <c r="M7" s="1666"/>
      <c r="N7" s="1669" t="s">
        <v>10</v>
      </c>
      <c r="O7" s="1669"/>
      <c r="P7" s="1669"/>
    </row>
    <row r="8" spans="1:16" ht="30.75" customHeight="1">
      <c r="A8" s="1660"/>
      <c r="B8" s="1661"/>
      <c r="C8" s="1670" t="s">
        <v>403</v>
      </c>
      <c r="D8" s="1663" t="s">
        <v>96</v>
      </c>
      <c r="E8" s="1663"/>
      <c r="F8" s="1665"/>
      <c r="G8" s="1664" t="s">
        <v>404</v>
      </c>
      <c r="H8" s="1664" t="s">
        <v>96</v>
      </c>
      <c r="I8" s="1664"/>
      <c r="J8" s="1664"/>
      <c r="K8" s="1664" t="s">
        <v>39</v>
      </c>
      <c r="L8" s="1664" t="s">
        <v>97</v>
      </c>
      <c r="M8" s="1664"/>
      <c r="N8" s="1664" t="s">
        <v>80</v>
      </c>
      <c r="O8" s="1664" t="s">
        <v>97</v>
      </c>
      <c r="P8" s="1664"/>
    </row>
    <row r="9" spans="1:16" ht="40.5" customHeight="1">
      <c r="A9" s="1660"/>
      <c r="B9" s="1661"/>
      <c r="C9" s="1670"/>
      <c r="D9" s="677" t="s">
        <v>44</v>
      </c>
      <c r="E9" s="677" t="s">
        <v>45</v>
      </c>
      <c r="F9" s="677" t="s">
        <v>48</v>
      </c>
      <c r="G9" s="1664"/>
      <c r="H9" s="677" t="s">
        <v>44</v>
      </c>
      <c r="I9" s="677" t="s">
        <v>45</v>
      </c>
      <c r="J9" s="677" t="s">
        <v>48</v>
      </c>
      <c r="K9" s="1664"/>
      <c r="L9" s="677" t="s">
        <v>16</v>
      </c>
      <c r="M9" s="677" t="s">
        <v>15</v>
      </c>
      <c r="N9" s="1664"/>
      <c r="O9" s="677" t="s">
        <v>16</v>
      </c>
      <c r="P9" s="677" t="s">
        <v>15</v>
      </c>
    </row>
    <row r="10" spans="1:16" ht="15" customHeight="1">
      <c r="A10" s="1671" t="s">
        <v>6</v>
      </c>
      <c r="B10" s="1672"/>
      <c r="C10" s="542">
        <v>1</v>
      </c>
      <c r="D10" s="542" t="s">
        <v>53</v>
      </c>
      <c r="E10" s="542" t="s">
        <v>58</v>
      </c>
      <c r="F10" s="542" t="s">
        <v>73</v>
      </c>
      <c r="G10" s="542" t="s">
        <v>74</v>
      </c>
      <c r="H10" s="542" t="s">
        <v>75</v>
      </c>
      <c r="I10" s="542" t="s">
        <v>76</v>
      </c>
      <c r="J10" s="542" t="s">
        <v>77</v>
      </c>
      <c r="K10" s="542" t="s">
        <v>78</v>
      </c>
      <c r="L10" s="542" t="s">
        <v>101</v>
      </c>
      <c r="M10" s="542" t="s">
        <v>102</v>
      </c>
      <c r="N10" s="542" t="s">
        <v>103</v>
      </c>
      <c r="O10" s="542" t="s">
        <v>104</v>
      </c>
      <c r="P10" s="542" t="s">
        <v>105</v>
      </c>
    </row>
    <row r="11" spans="1:16" ht="15" customHeight="1">
      <c r="A11" s="1667" t="s">
        <v>41</v>
      </c>
      <c r="B11" s="1668"/>
      <c r="C11" s="826">
        <f>C12+C13</f>
        <v>3</v>
      </c>
      <c r="D11" s="826">
        <f aca="true" t="shared" si="0" ref="D11:P11">D12+D13</f>
        <v>1</v>
      </c>
      <c r="E11" s="826">
        <f t="shared" si="0"/>
        <v>0</v>
      </c>
      <c r="F11" s="826">
        <f t="shared" si="0"/>
        <v>2</v>
      </c>
      <c r="G11" s="826">
        <f t="shared" si="0"/>
        <v>879675</v>
      </c>
      <c r="H11" s="826">
        <f t="shared" si="0"/>
        <v>428865</v>
      </c>
      <c r="I11" s="826">
        <f t="shared" si="0"/>
        <v>0</v>
      </c>
      <c r="J11" s="826">
        <f t="shared" si="0"/>
        <v>450810</v>
      </c>
      <c r="K11" s="826">
        <f t="shared" si="0"/>
        <v>0</v>
      </c>
      <c r="L11" s="826">
        <f t="shared" si="0"/>
        <v>0</v>
      </c>
      <c r="M11" s="826">
        <f t="shared" si="0"/>
        <v>0</v>
      </c>
      <c r="N11" s="826">
        <f t="shared" si="0"/>
        <v>0</v>
      </c>
      <c r="O11" s="826">
        <f t="shared" si="0"/>
        <v>0</v>
      </c>
      <c r="P11" s="826">
        <f t="shared" si="0"/>
        <v>0</v>
      </c>
    </row>
    <row r="12" spans="1:16" ht="15" customHeight="1">
      <c r="A12" s="827" t="s">
        <v>0</v>
      </c>
      <c r="B12" s="1080" t="s">
        <v>98</v>
      </c>
      <c r="C12" s="818">
        <f>D12+E12+F12</f>
        <v>0</v>
      </c>
      <c r="D12" s="1081">
        <v>0</v>
      </c>
      <c r="E12" s="1081">
        <v>0</v>
      </c>
      <c r="F12" s="1081">
        <v>0</v>
      </c>
      <c r="G12" s="826">
        <f>H12+I12+J12</f>
        <v>0</v>
      </c>
      <c r="H12" s="1081">
        <v>0</v>
      </c>
      <c r="I12" s="1081">
        <v>0</v>
      </c>
      <c r="J12" s="1081">
        <v>0</v>
      </c>
      <c r="K12" s="828">
        <f>L12+M12+N12</f>
        <v>0</v>
      </c>
      <c r="L12" s="1081">
        <v>0</v>
      </c>
      <c r="M12" s="1081">
        <v>0</v>
      </c>
      <c r="N12" s="1086">
        <f>O12+P12</f>
        <v>0</v>
      </c>
      <c r="O12" s="1087">
        <v>0</v>
      </c>
      <c r="P12" s="1087">
        <v>0</v>
      </c>
    </row>
    <row r="13" spans="1:16" ht="15" customHeight="1">
      <c r="A13" s="829" t="s">
        <v>1</v>
      </c>
      <c r="B13" s="1082" t="s">
        <v>19</v>
      </c>
      <c r="C13" s="818">
        <f>SUM(C14:C23)</f>
        <v>3</v>
      </c>
      <c r="D13" s="818">
        <f aca="true" t="shared" si="1" ref="D13:P13">SUM(D14:D23)</f>
        <v>1</v>
      </c>
      <c r="E13" s="818">
        <f t="shared" si="1"/>
        <v>0</v>
      </c>
      <c r="F13" s="818">
        <f t="shared" si="1"/>
        <v>2</v>
      </c>
      <c r="G13" s="818">
        <f t="shared" si="1"/>
        <v>879675</v>
      </c>
      <c r="H13" s="818">
        <f t="shared" si="1"/>
        <v>428865</v>
      </c>
      <c r="I13" s="818">
        <f t="shared" si="1"/>
        <v>0</v>
      </c>
      <c r="J13" s="818">
        <f t="shared" si="1"/>
        <v>450810</v>
      </c>
      <c r="K13" s="820">
        <f t="shared" si="1"/>
        <v>0</v>
      </c>
      <c r="L13" s="818">
        <f t="shared" si="1"/>
        <v>0</v>
      </c>
      <c r="M13" s="818">
        <f t="shared" si="1"/>
        <v>0</v>
      </c>
      <c r="N13" s="818">
        <f t="shared" si="1"/>
        <v>0</v>
      </c>
      <c r="O13" s="818">
        <f t="shared" si="1"/>
        <v>0</v>
      </c>
      <c r="P13" s="818">
        <f t="shared" si="1"/>
        <v>0</v>
      </c>
    </row>
    <row r="14" spans="1:16" ht="15" customHeight="1">
      <c r="A14" s="830">
        <v>1</v>
      </c>
      <c r="B14" s="793" t="s">
        <v>748</v>
      </c>
      <c r="C14" s="818">
        <f>D14+E14+F14</f>
        <v>2</v>
      </c>
      <c r="D14" s="1081">
        <v>0</v>
      </c>
      <c r="E14" s="1081">
        <v>0</v>
      </c>
      <c r="F14" s="1081">
        <v>2</v>
      </c>
      <c r="G14" s="826">
        <f>H14+I14+J14</f>
        <v>450810</v>
      </c>
      <c r="H14" s="1081">
        <v>0</v>
      </c>
      <c r="I14" s="1081">
        <v>0</v>
      </c>
      <c r="J14" s="1081">
        <v>450810</v>
      </c>
      <c r="K14" s="828">
        <f aca="true" t="shared" si="2" ref="K14:K23">L14+M14</f>
        <v>0</v>
      </c>
      <c r="L14" s="1081">
        <v>0</v>
      </c>
      <c r="M14" s="1081"/>
      <c r="N14" s="826">
        <f>O14+P14</f>
        <v>0</v>
      </c>
      <c r="O14" s="1087">
        <v>0</v>
      </c>
      <c r="P14" s="1087">
        <v>0</v>
      </c>
    </row>
    <row r="15" spans="1:16" ht="15" customHeight="1">
      <c r="A15" s="830">
        <v>2</v>
      </c>
      <c r="B15" s="793" t="s">
        <v>749</v>
      </c>
      <c r="C15" s="818">
        <f aca="true" t="shared" si="3" ref="C15:C23">D15+E15+F15</f>
        <v>0</v>
      </c>
      <c r="D15" s="1081">
        <v>0</v>
      </c>
      <c r="E15" s="1081">
        <v>0</v>
      </c>
      <c r="F15" s="1081">
        <v>0</v>
      </c>
      <c r="G15" s="826">
        <f aca="true" t="shared" si="4" ref="G15:G23">H15+I15+J15</f>
        <v>0</v>
      </c>
      <c r="H15" s="1081">
        <v>0</v>
      </c>
      <c r="I15" s="1081">
        <v>0</v>
      </c>
      <c r="J15" s="1081">
        <v>0</v>
      </c>
      <c r="K15" s="885">
        <f t="shared" si="2"/>
        <v>0</v>
      </c>
      <c r="L15" s="1081">
        <v>0</v>
      </c>
      <c r="M15" s="1081">
        <v>0</v>
      </c>
      <c r="N15" s="826">
        <f aca="true" t="shared" si="5" ref="N15:N23">O15+P15</f>
        <v>0</v>
      </c>
      <c r="O15" s="1087">
        <v>0</v>
      </c>
      <c r="P15" s="1087">
        <v>0</v>
      </c>
    </row>
    <row r="16" spans="1:16" ht="15" customHeight="1">
      <c r="A16" s="830">
        <v>3</v>
      </c>
      <c r="B16" s="793" t="s">
        <v>750</v>
      </c>
      <c r="C16" s="818">
        <f t="shared" si="3"/>
        <v>1</v>
      </c>
      <c r="D16" s="1081">
        <v>1</v>
      </c>
      <c r="E16" s="1081">
        <v>0</v>
      </c>
      <c r="F16" s="1081">
        <v>0</v>
      </c>
      <c r="G16" s="826">
        <f t="shared" si="4"/>
        <v>428865</v>
      </c>
      <c r="H16" s="1081">
        <v>428865</v>
      </c>
      <c r="I16" s="1081">
        <v>0</v>
      </c>
      <c r="J16" s="1081">
        <v>0</v>
      </c>
      <c r="K16" s="885">
        <f t="shared" si="2"/>
        <v>0</v>
      </c>
      <c r="L16" s="1081">
        <v>0</v>
      </c>
      <c r="M16" s="1081">
        <v>0</v>
      </c>
      <c r="N16" s="826">
        <f t="shared" si="5"/>
        <v>0</v>
      </c>
      <c r="O16" s="1087">
        <v>0</v>
      </c>
      <c r="P16" s="1087">
        <v>0</v>
      </c>
    </row>
    <row r="17" spans="1:16" ht="15" customHeight="1">
      <c r="A17" s="830">
        <v>4</v>
      </c>
      <c r="B17" s="793" t="s">
        <v>751</v>
      </c>
      <c r="C17" s="818">
        <f t="shared" si="3"/>
        <v>0</v>
      </c>
      <c r="D17" s="1081">
        <v>0</v>
      </c>
      <c r="E17" s="1081">
        <v>0</v>
      </c>
      <c r="F17" s="1081">
        <v>0</v>
      </c>
      <c r="G17" s="826">
        <f t="shared" si="4"/>
        <v>0</v>
      </c>
      <c r="H17" s="1081">
        <v>0</v>
      </c>
      <c r="I17" s="1081">
        <v>0</v>
      </c>
      <c r="J17" s="1081">
        <v>0</v>
      </c>
      <c r="K17" s="885">
        <f t="shared" si="2"/>
        <v>0</v>
      </c>
      <c r="L17" s="1081">
        <v>0</v>
      </c>
      <c r="M17" s="1081">
        <v>0</v>
      </c>
      <c r="N17" s="826">
        <f t="shared" si="5"/>
        <v>0</v>
      </c>
      <c r="O17" s="1087">
        <v>0</v>
      </c>
      <c r="P17" s="1087">
        <v>0</v>
      </c>
    </row>
    <row r="18" spans="1:16" ht="15" customHeight="1">
      <c r="A18" s="830">
        <v>5</v>
      </c>
      <c r="B18" s="793" t="s">
        <v>752</v>
      </c>
      <c r="C18" s="818">
        <f t="shared" si="3"/>
        <v>0</v>
      </c>
      <c r="D18" s="1081">
        <v>0</v>
      </c>
      <c r="E18" s="1081">
        <v>0</v>
      </c>
      <c r="F18" s="1081">
        <v>0</v>
      </c>
      <c r="G18" s="826">
        <f t="shared" si="4"/>
        <v>0</v>
      </c>
      <c r="H18" s="1081">
        <v>0</v>
      </c>
      <c r="I18" s="1081">
        <v>0</v>
      </c>
      <c r="J18" s="1081">
        <v>0</v>
      </c>
      <c r="K18" s="885">
        <f t="shared" si="2"/>
        <v>0</v>
      </c>
      <c r="L18" s="1081">
        <v>0</v>
      </c>
      <c r="M18" s="1081">
        <v>0</v>
      </c>
      <c r="N18" s="826">
        <f t="shared" si="5"/>
        <v>0</v>
      </c>
      <c r="O18" s="1087">
        <v>0</v>
      </c>
      <c r="P18" s="1087">
        <v>0</v>
      </c>
    </row>
    <row r="19" spans="1:16" ht="15" customHeight="1">
      <c r="A19" s="830">
        <v>6</v>
      </c>
      <c r="B19" s="793" t="s">
        <v>753</v>
      </c>
      <c r="C19" s="818">
        <f t="shared" si="3"/>
        <v>0</v>
      </c>
      <c r="D19" s="1081">
        <v>0</v>
      </c>
      <c r="E19" s="1081">
        <v>0</v>
      </c>
      <c r="F19" s="1081">
        <v>0</v>
      </c>
      <c r="G19" s="826">
        <f t="shared" si="4"/>
        <v>0</v>
      </c>
      <c r="H19" s="1081">
        <v>0</v>
      </c>
      <c r="I19" s="1081">
        <v>0</v>
      </c>
      <c r="J19" s="1081">
        <v>0</v>
      </c>
      <c r="K19" s="828">
        <f t="shared" si="2"/>
        <v>0</v>
      </c>
      <c r="L19" s="1081">
        <v>0</v>
      </c>
      <c r="M19" s="1081">
        <v>0</v>
      </c>
      <c r="N19" s="826">
        <f t="shared" si="5"/>
        <v>0</v>
      </c>
      <c r="O19" s="1087">
        <v>0</v>
      </c>
      <c r="P19" s="1087">
        <v>0</v>
      </c>
    </row>
    <row r="20" spans="1:16" ht="15" customHeight="1">
      <c r="A20" s="830">
        <v>7</v>
      </c>
      <c r="B20" s="793" t="s">
        <v>754</v>
      </c>
      <c r="C20" s="818">
        <f t="shared" si="3"/>
        <v>0</v>
      </c>
      <c r="D20" s="1081">
        <v>0</v>
      </c>
      <c r="E20" s="1081">
        <v>0</v>
      </c>
      <c r="F20" s="1081">
        <v>0</v>
      </c>
      <c r="G20" s="826">
        <f t="shared" si="4"/>
        <v>0</v>
      </c>
      <c r="H20" s="1081">
        <v>0</v>
      </c>
      <c r="I20" s="1081">
        <v>0</v>
      </c>
      <c r="J20" s="1081">
        <v>0</v>
      </c>
      <c r="K20" s="828">
        <f t="shared" si="2"/>
        <v>0</v>
      </c>
      <c r="L20" s="1081">
        <v>0</v>
      </c>
      <c r="M20" s="1081">
        <v>0</v>
      </c>
      <c r="N20" s="826">
        <f t="shared" si="5"/>
        <v>0</v>
      </c>
      <c r="O20" s="1087">
        <v>0</v>
      </c>
      <c r="P20" s="1087">
        <v>0</v>
      </c>
    </row>
    <row r="21" spans="1:16" ht="15" customHeight="1">
      <c r="A21" s="830">
        <v>8</v>
      </c>
      <c r="B21" s="793" t="s">
        <v>755</v>
      </c>
      <c r="C21" s="818">
        <f t="shared" si="3"/>
        <v>0</v>
      </c>
      <c r="D21" s="1081">
        <v>0</v>
      </c>
      <c r="E21" s="1081">
        <v>0</v>
      </c>
      <c r="F21" s="1081">
        <v>0</v>
      </c>
      <c r="G21" s="826">
        <f t="shared" si="4"/>
        <v>0</v>
      </c>
      <c r="H21" s="1081">
        <v>0</v>
      </c>
      <c r="I21" s="1081">
        <v>0</v>
      </c>
      <c r="J21" s="1081">
        <v>0</v>
      </c>
      <c r="K21" s="828">
        <f t="shared" si="2"/>
        <v>0</v>
      </c>
      <c r="L21" s="1081">
        <v>0</v>
      </c>
      <c r="M21" s="1081">
        <v>0</v>
      </c>
      <c r="N21" s="826">
        <f t="shared" si="5"/>
        <v>0</v>
      </c>
      <c r="O21" s="1087">
        <v>0</v>
      </c>
      <c r="P21" s="1087">
        <v>0</v>
      </c>
    </row>
    <row r="22" spans="1:16" ht="15" customHeight="1">
      <c r="A22" s="830">
        <v>9</v>
      </c>
      <c r="B22" s="793" t="s">
        <v>756</v>
      </c>
      <c r="C22" s="818">
        <f t="shared" si="3"/>
        <v>0</v>
      </c>
      <c r="D22" s="1081">
        <v>0</v>
      </c>
      <c r="E22" s="1081">
        <v>0</v>
      </c>
      <c r="F22" s="1081">
        <v>0</v>
      </c>
      <c r="G22" s="826">
        <f t="shared" si="4"/>
        <v>0</v>
      </c>
      <c r="H22" s="1081">
        <v>0</v>
      </c>
      <c r="I22" s="1081">
        <v>0</v>
      </c>
      <c r="J22" s="1081">
        <v>0</v>
      </c>
      <c r="K22" s="885">
        <f t="shared" si="2"/>
        <v>0</v>
      </c>
      <c r="L22" s="1081">
        <v>0</v>
      </c>
      <c r="M22" s="1081">
        <v>0</v>
      </c>
      <c r="N22" s="826">
        <f t="shared" si="5"/>
        <v>0</v>
      </c>
      <c r="O22" s="1087">
        <v>0</v>
      </c>
      <c r="P22" s="1087">
        <v>0</v>
      </c>
    </row>
    <row r="23" spans="1:16" ht="15" customHeight="1" thickBot="1">
      <c r="A23" s="831">
        <v>10</v>
      </c>
      <c r="B23" s="1069" t="s">
        <v>757</v>
      </c>
      <c r="C23" s="1083">
        <f t="shared" si="3"/>
        <v>0</v>
      </c>
      <c r="D23" s="1084">
        <v>0</v>
      </c>
      <c r="E23" s="1084">
        <v>0</v>
      </c>
      <c r="F23" s="1084">
        <v>0</v>
      </c>
      <c r="G23" s="1085">
        <f t="shared" si="4"/>
        <v>0</v>
      </c>
      <c r="H23" s="1084">
        <v>0</v>
      </c>
      <c r="I23" s="1084">
        <v>0</v>
      </c>
      <c r="J23" s="1084">
        <v>0</v>
      </c>
      <c r="K23" s="832">
        <f t="shared" si="2"/>
        <v>0</v>
      </c>
      <c r="L23" s="1084">
        <v>0</v>
      </c>
      <c r="M23" s="1084">
        <v>0</v>
      </c>
      <c r="N23" s="826">
        <f t="shared" si="5"/>
        <v>0</v>
      </c>
      <c r="O23" s="1088">
        <v>0</v>
      </c>
      <c r="P23" s="1088">
        <v>0</v>
      </c>
    </row>
    <row r="24" spans="1:16" ht="25.5" customHeight="1" thickTop="1">
      <c r="A24" s="543"/>
      <c r="B24" s="544"/>
      <c r="C24" s="545"/>
      <c r="D24" s="545"/>
      <c r="E24" s="545"/>
      <c r="F24" s="545"/>
      <c r="G24" s="545"/>
      <c r="H24" s="545"/>
      <c r="I24" s="545"/>
      <c r="J24" s="545"/>
      <c r="K24" s="545"/>
      <c r="L24" s="1639" t="str">
        <f>'Thong tin'!B9</f>
        <v>Bình Thuận, ngày 04 tháng 8 năm 2016</v>
      </c>
      <c r="M24" s="1639"/>
      <c r="N24" s="1639"/>
      <c r="O24" s="1639"/>
      <c r="P24" s="1639"/>
    </row>
    <row r="25" spans="2:16" ht="17.25" customHeight="1">
      <c r="B25" s="1643" t="s">
        <v>4</v>
      </c>
      <c r="C25" s="1643"/>
      <c r="D25" s="1643"/>
      <c r="E25" s="673"/>
      <c r="F25" s="546"/>
      <c r="G25" s="546"/>
      <c r="H25" s="546"/>
      <c r="I25" s="546"/>
      <c r="J25" s="546"/>
      <c r="L25" s="1640" t="str">
        <f>'Thong tin'!B7</f>
        <v>KT. CỤC TRƯỞNG</v>
      </c>
      <c r="M25" s="1640"/>
      <c r="N25" s="1640"/>
      <c r="O25" s="1640"/>
      <c r="P25" s="1640"/>
    </row>
    <row r="26" spans="2:16" ht="21" customHeight="1">
      <c r="B26" s="673"/>
      <c r="C26" s="673"/>
      <c r="D26" s="673"/>
      <c r="E26" s="673"/>
      <c r="F26" s="546"/>
      <c r="G26" s="546"/>
      <c r="H26" s="546"/>
      <c r="I26" s="546"/>
      <c r="J26" s="546"/>
      <c r="K26" s="546"/>
      <c r="L26" s="1641" t="str">
        <f>'Thong tin'!B8</f>
        <v>PHÓ CỤC TRƯỞNG</v>
      </c>
      <c r="M26" s="1641"/>
      <c r="N26" s="1641"/>
      <c r="O26" s="1641"/>
      <c r="P26" s="1641"/>
    </row>
    <row r="27" ht="11.25" customHeight="1"/>
    <row r="28" spans="2:16" ht="16.5" customHeight="1">
      <c r="B28" s="1645"/>
      <c r="C28" s="1645"/>
      <c r="D28" s="1645"/>
      <c r="K28" s="1646"/>
      <c r="L28" s="1646"/>
      <c r="M28" s="1646"/>
      <c r="N28" s="1646"/>
      <c r="O28" s="1646"/>
      <c r="P28" s="1646"/>
    </row>
    <row r="29" ht="12.75" customHeight="1"/>
    <row r="30" spans="2:16" ht="15.75">
      <c r="B30" s="1644" t="str">
        <f>'Thong tin'!B5</f>
        <v>Trần Quốc Bảo</v>
      </c>
      <c r="C30" s="1644"/>
      <c r="D30" s="1644"/>
      <c r="E30" s="674"/>
      <c r="L30" s="1642" t="str">
        <f>'Thong tin'!B6</f>
        <v>Trần Nam</v>
      </c>
      <c r="M30" s="1642"/>
      <c r="N30" s="1642"/>
      <c r="O30" s="1642"/>
      <c r="P30" s="1642"/>
    </row>
    <row r="32" spans="12:16" ht="15.75">
      <c r="L32" s="553"/>
      <c r="M32" s="553"/>
      <c r="N32" s="553"/>
      <c r="O32" s="553"/>
      <c r="P32" s="553"/>
    </row>
  </sheetData>
  <sheetProtection/>
  <mergeCells count="34">
    <mergeCell ref="A11:B11"/>
    <mergeCell ref="N7:P7"/>
    <mergeCell ref="C8:C9"/>
    <mergeCell ref="D8:F8"/>
    <mergeCell ref="K8:K9"/>
    <mergeCell ref="L8:M8"/>
    <mergeCell ref="N8:N9"/>
    <mergeCell ref="O8:P8"/>
    <mergeCell ref="A10:B10"/>
    <mergeCell ref="D5:L5"/>
    <mergeCell ref="A6:B9"/>
    <mergeCell ref="C6:J6"/>
    <mergeCell ref="K6:P6"/>
    <mergeCell ref="C7:F7"/>
    <mergeCell ref="G7:J7"/>
    <mergeCell ref="K7:M7"/>
    <mergeCell ref="G8:G9"/>
    <mergeCell ref="H8:J8"/>
    <mergeCell ref="M1:P1"/>
    <mergeCell ref="A2:C2"/>
    <mergeCell ref="M2:P2"/>
    <mergeCell ref="D4:L4"/>
    <mergeCell ref="A4:C4"/>
    <mergeCell ref="M4:P4"/>
    <mergeCell ref="A1:B1"/>
    <mergeCell ref="D1:L3"/>
    <mergeCell ref="B25:D25"/>
    <mergeCell ref="B30:D30"/>
    <mergeCell ref="B28:D28"/>
    <mergeCell ref="K28:P28"/>
    <mergeCell ref="L24:P24"/>
    <mergeCell ref="L25:P25"/>
    <mergeCell ref="L26:P26"/>
    <mergeCell ref="L30:P30"/>
  </mergeCells>
  <printOptions/>
  <pageMargins left="0.393700787401575" right="0" top="0" bottom="0" header="0.078740157480315" footer="0.196850393700787"/>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indexed="39"/>
  </sheetPr>
  <dimension ref="A1:M38"/>
  <sheetViews>
    <sheetView view="pageBreakPreview" zoomScaleSheetLayoutView="100" zoomScalePageLayoutView="0" workbookViewId="0" topLeftCell="A4">
      <selection activeCell="K16" sqref="K16"/>
    </sheetView>
  </sheetViews>
  <sheetFormatPr defaultColWidth="9.00390625" defaultRowHeight="15.75"/>
  <cols>
    <col min="1" max="1" width="3.75390625" style="518" customWidth="1"/>
    <col min="2" max="2" width="23.875" style="518" customWidth="1"/>
    <col min="3" max="3" width="11.375" style="518" customWidth="1"/>
    <col min="4" max="4" width="13.875" style="518" customWidth="1"/>
    <col min="5" max="5" width="15.375" style="518" customWidth="1"/>
    <col min="6" max="6" width="11.00390625" style="518" customWidth="1"/>
    <col min="7" max="7" width="11.75390625" style="518" customWidth="1"/>
    <col min="8" max="8" width="11.125" style="518" customWidth="1"/>
    <col min="9" max="9" width="10.25390625" style="518" customWidth="1"/>
    <col min="10" max="10" width="10.75390625" style="518" customWidth="1"/>
    <col min="11" max="11" width="11.125" style="518" customWidth="1"/>
    <col min="12" max="12" width="12.00390625" style="518" customWidth="1"/>
    <col min="13" max="16384" width="9.00390625" style="518" customWidth="1"/>
  </cols>
  <sheetData>
    <row r="1" spans="1:12" ht="22.5" customHeight="1">
      <c r="A1" s="1656" t="s">
        <v>117</v>
      </c>
      <c r="B1" s="1656"/>
      <c r="C1" s="536"/>
      <c r="D1" s="1678" t="s">
        <v>662</v>
      </c>
      <c r="E1" s="1678"/>
      <c r="F1" s="1678"/>
      <c r="G1" s="1678"/>
      <c r="H1" s="1678"/>
      <c r="I1" s="1678"/>
      <c r="J1" s="1674" t="s">
        <v>656</v>
      </c>
      <c r="K1" s="1675"/>
      <c r="L1" s="1675"/>
    </row>
    <row r="2" spans="1:12" ht="15.75" customHeight="1">
      <c r="A2" s="1649" t="s">
        <v>342</v>
      </c>
      <c r="B2" s="1650"/>
      <c r="C2" s="1650"/>
      <c r="D2" s="1678"/>
      <c r="E2" s="1678"/>
      <c r="F2" s="1678"/>
      <c r="G2" s="1678"/>
      <c r="H2" s="1678"/>
      <c r="I2" s="1678"/>
      <c r="J2" s="1676" t="str">
        <f>'Thong tin'!B4</f>
        <v>Cục THADS tỉnh Bình Thuận</v>
      </c>
      <c r="K2" s="1676"/>
      <c r="L2" s="1676"/>
    </row>
    <row r="3" spans="1:12" ht="15.75" customHeight="1">
      <c r="A3" s="675" t="s">
        <v>673</v>
      </c>
      <c r="D3" s="1679" t="str">
        <f>'Thong tin'!B3</f>
        <v>10 tháng / năm 2016</v>
      </c>
      <c r="E3" s="1679"/>
      <c r="F3" s="1679"/>
      <c r="G3" s="1679"/>
      <c r="H3" s="1679"/>
      <c r="I3" s="1679"/>
      <c r="J3" s="1677" t="s">
        <v>464</v>
      </c>
      <c r="K3" s="1677"/>
      <c r="L3" s="1677"/>
    </row>
    <row r="4" spans="1:12" ht="15.75" customHeight="1">
      <c r="A4" s="1654" t="s">
        <v>400</v>
      </c>
      <c r="B4" s="1654"/>
      <c r="C4" s="1654"/>
      <c r="D4" s="1645"/>
      <c r="E4" s="1645"/>
      <c r="F4" s="1645"/>
      <c r="G4" s="1645"/>
      <c r="H4" s="1645"/>
      <c r="I4" s="1645"/>
      <c r="J4" s="1675" t="s">
        <v>410</v>
      </c>
      <c r="K4" s="1675"/>
      <c r="L4" s="1675"/>
    </row>
    <row r="5" spans="1:12" ht="15.75">
      <c r="A5" s="537"/>
      <c r="B5" s="537"/>
      <c r="C5" s="519"/>
      <c r="D5" s="519"/>
      <c r="E5" s="519"/>
      <c r="F5" s="519"/>
      <c r="G5" s="519"/>
      <c r="H5" s="519"/>
      <c r="I5" s="519"/>
      <c r="J5" s="1680" t="s">
        <v>8</v>
      </c>
      <c r="K5" s="1680"/>
      <c r="L5" s="1680"/>
    </row>
    <row r="6" spans="1:12" ht="15.75" customHeight="1">
      <c r="A6" s="1673" t="s">
        <v>72</v>
      </c>
      <c r="B6" s="1673"/>
      <c r="C6" s="1664" t="s">
        <v>663</v>
      </c>
      <c r="D6" s="1669" t="s">
        <v>412</v>
      </c>
      <c r="E6" s="1669"/>
      <c r="F6" s="1669"/>
      <c r="G6" s="1669"/>
      <c r="H6" s="1669"/>
      <c r="I6" s="1669"/>
      <c r="J6" s="1673" t="s">
        <v>115</v>
      </c>
      <c r="K6" s="1673"/>
      <c r="L6" s="1673"/>
    </row>
    <row r="7" spans="1:12" ht="15.75" customHeight="1">
      <c r="A7" s="1673"/>
      <c r="B7" s="1673"/>
      <c r="C7" s="1664"/>
      <c r="D7" s="1681" t="s">
        <v>7</v>
      </c>
      <c r="E7" s="1681"/>
      <c r="F7" s="1681"/>
      <c r="G7" s="1681"/>
      <c r="H7" s="1681"/>
      <c r="I7" s="1681"/>
      <c r="J7" s="1664" t="s">
        <v>17</v>
      </c>
      <c r="K7" s="1664" t="s">
        <v>657</v>
      </c>
      <c r="L7" s="1664" t="s">
        <v>658</v>
      </c>
    </row>
    <row r="8" spans="1:12" ht="18.75" customHeight="1">
      <c r="A8" s="1673"/>
      <c r="B8" s="1673"/>
      <c r="C8" s="1664"/>
      <c r="D8" s="1673" t="s">
        <v>113</v>
      </c>
      <c r="E8" s="1673" t="s">
        <v>114</v>
      </c>
      <c r="F8" s="1673"/>
      <c r="G8" s="1673"/>
      <c r="H8" s="1673"/>
      <c r="I8" s="1673"/>
      <c r="J8" s="1664"/>
      <c r="K8" s="1664"/>
      <c r="L8" s="1664"/>
    </row>
    <row r="9" spans="1:12" ht="60.75" customHeight="1">
      <c r="A9" s="1673"/>
      <c r="B9" s="1673"/>
      <c r="C9" s="1664"/>
      <c r="D9" s="1673"/>
      <c r="E9" s="676" t="s">
        <v>116</v>
      </c>
      <c r="F9" s="677" t="s">
        <v>661</v>
      </c>
      <c r="G9" s="677" t="s">
        <v>660</v>
      </c>
      <c r="H9" s="677" t="s">
        <v>659</v>
      </c>
      <c r="I9" s="677" t="s">
        <v>25</v>
      </c>
      <c r="J9" s="1664"/>
      <c r="K9" s="1664"/>
      <c r="L9" s="1664"/>
    </row>
    <row r="10" spans="1:12" ht="13.5" customHeight="1">
      <c r="A10" s="1684" t="s">
        <v>5</v>
      </c>
      <c r="B10" s="1684"/>
      <c r="C10" s="547">
        <v>1</v>
      </c>
      <c r="D10" s="547" t="s">
        <v>53</v>
      </c>
      <c r="E10" s="547" t="s">
        <v>58</v>
      </c>
      <c r="F10" s="547" t="s">
        <v>73</v>
      </c>
      <c r="G10" s="547" t="s">
        <v>74</v>
      </c>
      <c r="H10" s="547" t="s">
        <v>75</v>
      </c>
      <c r="I10" s="547" t="s">
        <v>76</v>
      </c>
      <c r="J10" s="547" t="s">
        <v>77</v>
      </c>
      <c r="K10" s="547" t="s">
        <v>78</v>
      </c>
      <c r="L10" s="547" t="s">
        <v>101</v>
      </c>
    </row>
    <row r="11" spans="1:12" s="526" customFormat="1" ht="20.25" customHeight="1">
      <c r="A11" s="1685" t="s">
        <v>37</v>
      </c>
      <c r="B11" s="1686"/>
      <c r="C11" s="818">
        <f>C12+C13</f>
        <v>119</v>
      </c>
      <c r="D11" s="818">
        <f aca="true" t="shared" si="0" ref="D11:L11">D12+D13</f>
        <v>18</v>
      </c>
      <c r="E11" s="818">
        <f t="shared" si="0"/>
        <v>101</v>
      </c>
      <c r="F11" s="818">
        <f t="shared" si="0"/>
        <v>57</v>
      </c>
      <c r="G11" s="818">
        <f t="shared" si="0"/>
        <v>35</v>
      </c>
      <c r="H11" s="818">
        <f t="shared" si="0"/>
        <v>5</v>
      </c>
      <c r="I11" s="818">
        <f t="shared" si="0"/>
        <v>4</v>
      </c>
      <c r="J11" s="818">
        <f t="shared" si="0"/>
        <v>7</v>
      </c>
      <c r="K11" s="818">
        <f t="shared" si="0"/>
        <v>112</v>
      </c>
      <c r="L11" s="818">
        <f t="shared" si="0"/>
        <v>0</v>
      </c>
    </row>
    <row r="12" spans="1:12" s="526" customFormat="1" ht="20.25" customHeight="1">
      <c r="A12" s="819" t="s">
        <v>0</v>
      </c>
      <c r="B12" s="1080" t="s">
        <v>98</v>
      </c>
      <c r="C12" s="818">
        <f>D12+E12</f>
        <v>7</v>
      </c>
      <c r="D12" s="1089">
        <v>6</v>
      </c>
      <c r="E12" s="818">
        <f>F12+G12+H12+I12</f>
        <v>1</v>
      </c>
      <c r="F12" s="1089">
        <v>0</v>
      </c>
      <c r="G12" s="1089">
        <v>0</v>
      </c>
      <c r="H12" s="1089">
        <v>0</v>
      </c>
      <c r="I12" s="1089">
        <v>1</v>
      </c>
      <c r="J12" s="1089">
        <v>0</v>
      </c>
      <c r="K12" s="1089">
        <v>7</v>
      </c>
      <c r="L12" s="821">
        <v>0</v>
      </c>
    </row>
    <row r="13" spans="1:12" s="526" customFormat="1" ht="21" customHeight="1">
      <c r="A13" s="822" t="s">
        <v>1</v>
      </c>
      <c r="B13" s="1065" t="s">
        <v>19</v>
      </c>
      <c r="C13" s="818">
        <f>C14+C15+C16+C17+C18+C19+C20+C21+C22+C23</f>
        <v>112</v>
      </c>
      <c r="D13" s="818">
        <f aca="true" t="shared" si="1" ref="D13:L13">D14+D15+D16+D17+D18+D19+D20+D21+D22+D23</f>
        <v>12</v>
      </c>
      <c r="E13" s="818">
        <f t="shared" si="1"/>
        <v>100</v>
      </c>
      <c r="F13" s="818">
        <f t="shared" si="1"/>
        <v>57</v>
      </c>
      <c r="G13" s="818">
        <f t="shared" si="1"/>
        <v>35</v>
      </c>
      <c r="H13" s="818">
        <f t="shared" si="1"/>
        <v>5</v>
      </c>
      <c r="I13" s="818">
        <f t="shared" si="1"/>
        <v>3</v>
      </c>
      <c r="J13" s="818">
        <f t="shared" si="1"/>
        <v>7</v>
      </c>
      <c r="K13" s="818">
        <f t="shared" si="1"/>
        <v>105</v>
      </c>
      <c r="L13" s="820">
        <f t="shared" si="1"/>
        <v>0</v>
      </c>
    </row>
    <row r="14" spans="1:12" s="526" customFormat="1" ht="21" customHeight="1">
      <c r="A14" s="823" t="s">
        <v>52</v>
      </c>
      <c r="B14" s="793" t="s">
        <v>748</v>
      </c>
      <c r="C14" s="818">
        <f>D14+E14</f>
        <v>9</v>
      </c>
      <c r="D14" s="1089">
        <v>9</v>
      </c>
      <c r="E14" s="818">
        <f>F14+G14+H14+I14</f>
        <v>0</v>
      </c>
      <c r="F14" s="1089">
        <v>0</v>
      </c>
      <c r="G14" s="1089">
        <v>0</v>
      </c>
      <c r="H14" s="1089">
        <v>0</v>
      </c>
      <c r="I14" s="1089">
        <v>0</v>
      </c>
      <c r="J14" s="1089">
        <v>0</v>
      </c>
      <c r="K14" s="1089">
        <v>9</v>
      </c>
      <c r="L14" s="821">
        <v>0</v>
      </c>
    </row>
    <row r="15" spans="1:12" s="526" customFormat="1" ht="18.75" customHeight="1">
      <c r="A15" s="823">
        <v>2</v>
      </c>
      <c r="B15" s="793" t="s">
        <v>749</v>
      </c>
      <c r="C15" s="818">
        <f aca="true" t="shared" si="2" ref="C15:C23">D15+E15</f>
        <v>33</v>
      </c>
      <c r="D15" s="1089">
        <v>0</v>
      </c>
      <c r="E15" s="818">
        <f aca="true" t="shared" si="3" ref="E15:E23">F15+G15+H15+I15</f>
        <v>33</v>
      </c>
      <c r="F15" s="1089">
        <v>33</v>
      </c>
      <c r="G15" s="1089">
        <v>0</v>
      </c>
      <c r="H15" s="1089">
        <v>0</v>
      </c>
      <c r="I15" s="1089">
        <v>0</v>
      </c>
      <c r="J15" s="1089">
        <v>0</v>
      </c>
      <c r="K15" s="1089">
        <v>33</v>
      </c>
      <c r="L15" s="821">
        <v>0</v>
      </c>
    </row>
    <row r="16" spans="1:12" s="526" customFormat="1" ht="18.75" customHeight="1">
      <c r="A16" s="823">
        <v>3</v>
      </c>
      <c r="B16" s="793" t="s">
        <v>750</v>
      </c>
      <c r="C16" s="818">
        <f t="shared" si="2"/>
        <v>17</v>
      </c>
      <c r="D16" s="1089">
        <v>1</v>
      </c>
      <c r="E16" s="818">
        <f t="shared" si="3"/>
        <v>16</v>
      </c>
      <c r="F16" s="1089">
        <v>16</v>
      </c>
      <c r="G16" s="1089">
        <v>0</v>
      </c>
      <c r="H16" s="1089">
        <v>0</v>
      </c>
      <c r="I16" s="1089">
        <v>0</v>
      </c>
      <c r="J16" s="1089">
        <v>2</v>
      </c>
      <c r="K16" s="1089">
        <v>15</v>
      </c>
      <c r="L16" s="886">
        <v>0</v>
      </c>
    </row>
    <row r="17" spans="1:12" s="526" customFormat="1" ht="19.5" customHeight="1">
      <c r="A17" s="823">
        <v>4</v>
      </c>
      <c r="B17" s="793" t="s">
        <v>751</v>
      </c>
      <c r="C17" s="818">
        <f t="shared" si="2"/>
        <v>5</v>
      </c>
      <c r="D17" s="1089">
        <v>0</v>
      </c>
      <c r="E17" s="818">
        <f t="shared" si="3"/>
        <v>5</v>
      </c>
      <c r="F17" s="1089">
        <v>5</v>
      </c>
      <c r="G17" s="1089">
        <v>0</v>
      </c>
      <c r="H17" s="1089">
        <v>0</v>
      </c>
      <c r="I17" s="1089">
        <v>0</v>
      </c>
      <c r="J17" s="1089">
        <v>0</v>
      </c>
      <c r="K17" s="1089">
        <v>5</v>
      </c>
      <c r="L17" s="886">
        <v>0</v>
      </c>
    </row>
    <row r="18" spans="1:12" s="526" customFormat="1" ht="20.25" customHeight="1">
      <c r="A18" s="823">
        <v>5</v>
      </c>
      <c r="B18" s="793" t="s">
        <v>752</v>
      </c>
      <c r="C18" s="818">
        <f t="shared" si="2"/>
        <v>29</v>
      </c>
      <c r="D18" s="1089">
        <v>2</v>
      </c>
      <c r="E18" s="818">
        <f t="shared" si="3"/>
        <v>27</v>
      </c>
      <c r="F18" s="1089">
        <v>0</v>
      </c>
      <c r="G18" s="1089">
        <v>20</v>
      </c>
      <c r="H18" s="1089">
        <v>4</v>
      </c>
      <c r="I18" s="1089">
        <v>3</v>
      </c>
      <c r="J18" s="1089">
        <v>5</v>
      </c>
      <c r="K18" s="1089">
        <v>24</v>
      </c>
      <c r="L18" s="886">
        <v>0</v>
      </c>
    </row>
    <row r="19" spans="1:12" s="526" customFormat="1" ht="19.5" customHeight="1">
      <c r="A19" s="823">
        <v>6</v>
      </c>
      <c r="B19" s="793" t="s">
        <v>753</v>
      </c>
      <c r="C19" s="818">
        <f t="shared" si="2"/>
        <v>2</v>
      </c>
      <c r="D19" s="1089">
        <v>0</v>
      </c>
      <c r="E19" s="818">
        <f t="shared" si="3"/>
        <v>2</v>
      </c>
      <c r="F19" s="1089">
        <v>0</v>
      </c>
      <c r="G19" s="1089">
        <v>2</v>
      </c>
      <c r="H19" s="1089">
        <v>0</v>
      </c>
      <c r="I19" s="1089">
        <v>0</v>
      </c>
      <c r="J19" s="1089">
        <v>0</v>
      </c>
      <c r="K19" s="1089">
        <v>2</v>
      </c>
      <c r="L19" s="886">
        <v>0</v>
      </c>
    </row>
    <row r="20" spans="1:12" s="526" customFormat="1" ht="18.75" customHeight="1">
      <c r="A20" s="823">
        <v>7</v>
      </c>
      <c r="B20" s="793" t="s">
        <v>754</v>
      </c>
      <c r="C20" s="818">
        <f t="shared" si="2"/>
        <v>0</v>
      </c>
      <c r="D20" s="1089">
        <v>0</v>
      </c>
      <c r="E20" s="818">
        <f t="shared" si="3"/>
        <v>0</v>
      </c>
      <c r="F20" s="1089">
        <v>0</v>
      </c>
      <c r="G20" s="1089">
        <v>0</v>
      </c>
      <c r="H20" s="1089">
        <v>0</v>
      </c>
      <c r="I20" s="1089">
        <v>0</v>
      </c>
      <c r="J20" s="1089">
        <v>0</v>
      </c>
      <c r="K20" s="1089">
        <v>0</v>
      </c>
      <c r="L20" s="821">
        <v>0</v>
      </c>
    </row>
    <row r="21" spans="1:12" s="526" customFormat="1" ht="21.75" customHeight="1">
      <c r="A21" s="823">
        <v>8</v>
      </c>
      <c r="B21" s="793" t="s">
        <v>755</v>
      </c>
      <c r="C21" s="818">
        <f t="shared" si="2"/>
        <v>3</v>
      </c>
      <c r="D21" s="1089">
        <v>0</v>
      </c>
      <c r="E21" s="818">
        <f t="shared" si="3"/>
        <v>3</v>
      </c>
      <c r="F21" s="1089">
        <v>3</v>
      </c>
      <c r="G21" s="1089">
        <v>0</v>
      </c>
      <c r="H21" s="1089">
        <v>0</v>
      </c>
      <c r="I21" s="1089">
        <v>0</v>
      </c>
      <c r="J21" s="1089">
        <v>0</v>
      </c>
      <c r="K21" s="1089">
        <v>3</v>
      </c>
      <c r="L21" s="821">
        <v>0</v>
      </c>
    </row>
    <row r="22" spans="1:12" s="526" customFormat="1" ht="20.25" customHeight="1">
      <c r="A22" s="823">
        <v>9</v>
      </c>
      <c r="B22" s="793" t="s">
        <v>756</v>
      </c>
      <c r="C22" s="818">
        <f t="shared" si="2"/>
        <v>14</v>
      </c>
      <c r="D22" s="1089">
        <v>0</v>
      </c>
      <c r="E22" s="818">
        <f t="shared" si="3"/>
        <v>14</v>
      </c>
      <c r="F22" s="1089">
        <v>0</v>
      </c>
      <c r="G22" s="1089">
        <v>13</v>
      </c>
      <c r="H22" s="1089">
        <v>1</v>
      </c>
      <c r="I22" s="1089">
        <v>0</v>
      </c>
      <c r="J22" s="1089">
        <v>0</v>
      </c>
      <c r="K22" s="1089">
        <v>14</v>
      </c>
      <c r="L22" s="886">
        <v>0</v>
      </c>
    </row>
    <row r="23" spans="1:13" s="526" customFormat="1" ht="21" customHeight="1" thickBot="1">
      <c r="A23" s="824">
        <v>10</v>
      </c>
      <c r="B23" s="1069" t="s">
        <v>757</v>
      </c>
      <c r="C23" s="1083">
        <f t="shared" si="2"/>
        <v>0</v>
      </c>
      <c r="D23" s="1090">
        <v>0</v>
      </c>
      <c r="E23" s="1083">
        <f t="shared" si="3"/>
        <v>0</v>
      </c>
      <c r="F23" s="1090">
        <v>0</v>
      </c>
      <c r="G23" s="1090">
        <v>0</v>
      </c>
      <c r="H23" s="1090">
        <v>0</v>
      </c>
      <c r="I23" s="1090">
        <v>0</v>
      </c>
      <c r="J23" s="1090">
        <v>0</v>
      </c>
      <c r="K23" s="1090">
        <v>0</v>
      </c>
      <c r="L23" s="825">
        <v>0</v>
      </c>
      <c r="M23" s="527"/>
    </row>
    <row r="24" spans="1:12" ht="6" customHeight="1" thickTop="1">
      <c r="A24" s="548"/>
      <c r="B24" s="549"/>
      <c r="C24" s="550"/>
      <c r="D24" s="550"/>
      <c r="E24" s="550"/>
      <c r="F24" s="550"/>
      <c r="G24" s="550"/>
      <c r="H24" s="550"/>
      <c r="I24" s="550"/>
      <c r="J24" s="550"/>
      <c r="K24" s="550"/>
      <c r="L24" s="550"/>
    </row>
    <row r="25" spans="2:12" ht="16.5" customHeight="1">
      <c r="B25" s="673"/>
      <c r="C25" s="673"/>
      <c r="D25" s="673"/>
      <c r="E25" s="673"/>
      <c r="F25" s="673"/>
      <c r="G25" s="673"/>
      <c r="H25" s="1687" t="str">
        <f>'Thong tin'!B9</f>
        <v>Bình Thuận, ngày 04 tháng 8 năm 2016</v>
      </c>
      <c r="I25" s="1687"/>
      <c r="J25" s="1687"/>
      <c r="K25" s="1687"/>
      <c r="L25" s="1687"/>
    </row>
    <row r="26" spans="1:12" ht="18.75">
      <c r="A26" s="551"/>
      <c r="B26" s="1689" t="s">
        <v>4</v>
      </c>
      <c r="C26" s="1689"/>
      <c r="D26" s="1689"/>
      <c r="E26" s="673"/>
      <c r="F26" s="673"/>
      <c r="G26" s="673"/>
      <c r="H26" s="1688" t="str">
        <f>'Thong tin'!B7</f>
        <v>KT. CỤC TRƯỞNG</v>
      </c>
      <c r="I26" s="1688"/>
      <c r="J26" s="1688"/>
      <c r="K26" s="1688"/>
      <c r="L26" s="1688"/>
    </row>
    <row r="27" spans="1:12" ht="16.5" customHeight="1">
      <c r="A27" s="552"/>
      <c r="B27" s="1091"/>
      <c r="C27" s="1091"/>
      <c r="D27" s="1091"/>
      <c r="E27" s="1091"/>
      <c r="F27" s="1091"/>
      <c r="G27" s="1091"/>
      <c r="H27" s="1691" t="str">
        <f>'Thong tin'!B8</f>
        <v>PHÓ CỤC TRƯỞNG</v>
      </c>
      <c r="I27" s="1691"/>
      <c r="J27" s="1691"/>
      <c r="K27" s="1691"/>
      <c r="L27" s="1691"/>
    </row>
    <row r="28" spans="1:12" ht="18.75">
      <c r="A28" s="532"/>
      <c r="B28" s="1091"/>
      <c r="C28" s="1091"/>
      <c r="D28" s="1091"/>
      <c r="E28" s="1091"/>
      <c r="F28" s="1091"/>
      <c r="G28" s="1091"/>
      <c r="H28" s="1091"/>
      <c r="I28" s="520"/>
      <c r="J28" s="520"/>
      <c r="K28" s="520"/>
      <c r="L28" s="1093"/>
    </row>
    <row r="29" spans="1:12" ht="9" customHeight="1">
      <c r="A29" s="532"/>
      <c r="B29" s="1091"/>
      <c r="C29" s="1091"/>
      <c r="D29" s="1091"/>
      <c r="E29" s="1091"/>
      <c r="F29" s="1091"/>
      <c r="G29" s="1091"/>
      <c r="H29" s="1091"/>
      <c r="I29" s="1091"/>
      <c r="J29" s="1091"/>
      <c r="K29" s="1093"/>
      <c r="L29" s="1093"/>
    </row>
    <row r="30" spans="1:12" ht="18.75">
      <c r="A30" s="532"/>
      <c r="B30" s="1091"/>
      <c r="C30" s="1091"/>
      <c r="D30" s="1091"/>
      <c r="E30" s="1091"/>
      <c r="F30" s="1091"/>
      <c r="G30" s="1091"/>
      <c r="H30" s="1091"/>
      <c r="I30" s="1091"/>
      <c r="J30" s="1091"/>
      <c r="K30" s="1093"/>
      <c r="L30" s="1093"/>
    </row>
    <row r="31" spans="1:12" ht="9" customHeight="1">
      <c r="A31" s="532"/>
      <c r="B31" s="1091"/>
      <c r="C31" s="1091"/>
      <c r="D31" s="1091"/>
      <c r="E31" s="1091"/>
      <c r="F31" s="1091"/>
      <c r="G31" s="1091"/>
      <c r="H31" s="1091"/>
      <c r="I31" s="1091"/>
      <c r="J31" s="1091"/>
      <c r="K31" s="1093"/>
      <c r="L31" s="1093"/>
    </row>
    <row r="32" spans="1:12" ht="18.75">
      <c r="A32" s="532"/>
      <c r="B32" s="1091"/>
      <c r="C32" s="1091"/>
      <c r="D32" s="1091"/>
      <c r="E32" s="1091"/>
      <c r="F32" s="1091"/>
      <c r="G32" s="1091"/>
      <c r="H32" s="1091"/>
      <c r="I32" s="1091"/>
      <c r="J32" s="1091"/>
      <c r="K32" s="1093"/>
      <c r="L32" s="1093"/>
    </row>
    <row r="33" spans="2:12" ht="16.5">
      <c r="B33" s="1683" t="str">
        <f>'Thong tin'!B5</f>
        <v>Trần Quốc Bảo</v>
      </c>
      <c r="C33" s="1683"/>
      <c r="D33" s="1683"/>
      <c r="E33" s="1093"/>
      <c r="F33" s="1093"/>
      <c r="G33" s="1093"/>
      <c r="H33" s="1636" t="str">
        <f>'Thong tin'!B6</f>
        <v>Trần Nam</v>
      </c>
      <c r="I33" s="1636"/>
      <c r="J33" s="1636"/>
      <c r="K33" s="1636"/>
      <c r="L33" s="1636"/>
    </row>
    <row r="34" spans="1:12" ht="22.5" customHeight="1" hidden="1">
      <c r="A34" s="532"/>
      <c r="B34" s="552"/>
      <c r="C34" s="552"/>
      <c r="D34" s="552"/>
      <c r="E34" s="552"/>
      <c r="F34" s="552"/>
      <c r="G34" s="552"/>
      <c r="H34" s="552"/>
      <c r="I34" s="552"/>
      <c r="J34" s="552"/>
      <c r="K34" s="532"/>
      <c r="L34" s="532"/>
    </row>
    <row r="35" spans="1:12" ht="19.5" hidden="1">
      <c r="A35" s="554" t="s">
        <v>47</v>
      </c>
      <c r="B35" s="552"/>
      <c r="C35" s="552"/>
      <c r="D35" s="552"/>
      <c r="E35" s="552"/>
      <c r="F35" s="552"/>
      <c r="G35" s="552"/>
      <c r="H35" s="552"/>
      <c r="I35" s="552"/>
      <c r="J35" s="552"/>
      <c r="K35" s="532"/>
      <c r="L35" s="532"/>
    </row>
    <row r="36" spans="2:12" ht="15.75" customHeight="1" hidden="1">
      <c r="B36" s="1690" t="s">
        <v>59</v>
      </c>
      <c r="C36" s="1690"/>
      <c r="D36" s="1690"/>
      <c r="E36" s="1690"/>
      <c r="F36" s="1690"/>
      <c r="G36" s="1690"/>
      <c r="H36" s="1690"/>
      <c r="I36" s="1690"/>
      <c r="J36" s="1690"/>
      <c r="K36" s="1690"/>
      <c r="L36" s="1690"/>
    </row>
    <row r="37" spans="1:12" ht="16.5" customHeight="1" hidden="1">
      <c r="A37" s="555"/>
      <c r="B37" s="1682" t="s">
        <v>61</v>
      </c>
      <c r="C37" s="1682"/>
      <c r="D37" s="1682"/>
      <c r="E37" s="1682"/>
      <c r="F37" s="1682"/>
      <c r="G37" s="1682"/>
      <c r="H37" s="1682"/>
      <c r="I37" s="1682"/>
      <c r="J37" s="1682"/>
      <c r="K37" s="1682"/>
      <c r="L37" s="1682"/>
    </row>
    <row r="38" ht="15.75" hidden="1">
      <c r="B38" s="521" t="s">
        <v>60</v>
      </c>
    </row>
  </sheetData>
  <sheetProtection/>
  <mergeCells count="31">
    <mergeCell ref="B37:L37"/>
    <mergeCell ref="H33:L33"/>
    <mergeCell ref="B33:D33"/>
    <mergeCell ref="A10:B10"/>
    <mergeCell ref="A11:B11"/>
    <mergeCell ref="H25:L25"/>
    <mergeCell ref="H26:L26"/>
    <mergeCell ref="B26:D26"/>
    <mergeCell ref="B36:L36"/>
    <mergeCell ref="H27:L27"/>
    <mergeCell ref="A6:B9"/>
    <mergeCell ref="C6:C9"/>
    <mergeCell ref="D6:I6"/>
    <mergeCell ref="D7:I7"/>
    <mergeCell ref="D8:D9"/>
    <mergeCell ref="E8:I8"/>
    <mergeCell ref="A4:C4"/>
    <mergeCell ref="D4:I4"/>
    <mergeCell ref="J4:L4"/>
    <mergeCell ref="J5:L5"/>
    <mergeCell ref="J1:L1"/>
    <mergeCell ref="A2:C2"/>
    <mergeCell ref="J2:L2"/>
    <mergeCell ref="J3:L3"/>
    <mergeCell ref="D1:I2"/>
    <mergeCell ref="D3:I3"/>
    <mergeCell ref="A1:B1"/>
    <mergeCell ref="J6:L6"/>
    <mergeCell ref="J7:J9"/>
    <mergeCell ref="K7:K9"/>
    <mergeCell ref="L7:L9"/>
  </mergeCells>
  <printOptions/>
  <pageMargins left="0.3937007874015748" right="0.1968503937007874" top="0.2755905511811024" bottom="0.31496062992125984" header="0.1968503937007874" footer="0.1574803149606299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indexed="10"/>
  </sheetPr>
  <dimension ref="A1:AC51"/>
  <sheetViews>
    <sheetView view="pageBreakPreview" zoomScaleSheetLayoutView="100" zoomScalePageLayoutView="0" workbookViewId="0" topLeftCell="A7">
      <selection activeCell="V15" sqref="V15"/>
    </sheetView>
  </sheetViews>
  <sheetFormatPr defaultColWidth="9.00390625" defaultRowHeight="15.75"/>
  <cols>
    <col min="1" max="1" width="3.50390625" style="560" customWidth="1"/>
    <col min="2" max="2" width="21.00390625" style="560" customWidth="1"/>
    <col min="3" max="8" width="5.75390625" style="560" customWidth="1"/>
    <col min="9" max="15" width="6.625" style="560" customWidth="1"/>
    <col min="16" max="21" width="5.75390625" style="560" customWidth="1"/>
    <col min="22" max="16384" width="9.00390625" style="560" customWidth="1"/>
  </cols>
  <sheetData>
    <row r="1" spans="1:22" ht="21" customHeight="1">
      <c r="A1" s="702" t="s">
        <v>674</v>
      </c>
      <c r="B1" s="493"/>
      <c r="C1" s="493"/>
      <c r="D1" s="490"/>
      <c r="E1" s="556"/>
      <c r="F1" s="1692" t="s">
        <v>584</v>
      </c>
      <c r="G1" s="1692"/>
      <c r="H1" s="1692"/>
      <c r="I1" s="1692"/>
      <c r="J1" s="1692"/>
      <c r="K1" s="1692"/>
      <c r="L1" s="1692"/>
      <c r="M1" s="1692"/>
      <c r="N1" s="1692"/>
      <c r="O1" s="557"/>
      <c r="P1" s="558" t="s">
        <v>398</v>
      </c>
      <c r="Q1" s="559"/>
      <c r="R1" s="559"/>
      <c r="S1" s="559"/>
      <c r="T1" s="559"/>
      <c r="V1" s="561"/>
    </row>
    <row r="2" spans="1:22" ht="15.75" customHeight="1">
      <c r="A2" s="1601" t="s">
        <v>342</v>
      </c>
      <c r="B2" s="1601"/>
      <c r="C2" s="1601"/>
      <c r="D2" s="1601"/>
      <c r="E2" s="703"/>
      <c r="F2" s="1692"/>
      <c r="G2" s="1692"/>
      <c r="H2" s="1692"/>
      <c r="I2" s="1692"/>
      <c r="J2" s="1692"/>
      <c r="K2" s="1692"/>
      <c r="L2" s="1692"/>
      <c r="M2" s="1692"/>
      <c r="N2" s="1692"/>
      <c r="O2" s="557"/>
      <c r="P2" s="679" t="str">
        <f>'Thong tin'!B4</f>
        <v>Cục THADS tỉnh Bình Thuận</v>
      </c>
      <c r="Q2" s="678"/>
      <c r="R2" s="559"/>
      <c r="S2" s="559"/>
      <c r="T2" s="559"/>
      <c r="V2" s="561"/>
    </row>
    <row r="3" spans="1:20" ht="16.5" customHeight="1">
      <c r="A3" s="1607" t="s">
        <v>343</v>
      </c>
      <c r="B3" s="1607"/>
      <c r="C3" s="1607"/>
      <c r="D3" s="1607"/>
      <c r="E3" s="703"/>
      <c r="F3" s="1693" t="str">
        <f>'Thong tin'!B3</f>
        <v>10 tháng / năm 2016</v>
      </c>
      <c r="G3" s="1694"/>
      <c r="H3" s="1694"/>
      <c r="I3" s="1694"/>
      <c r="J3" s="1694"/>
      <c r="K3" s="1694"/>
      <c r="L3" s="1694"/>
      <c r="M3" s="1694"/>
      <c r="N3" s="1694"/>
      <c r="O3" s="562"/>
      <c r="P3" s="680" t="s">
        <v>665</v>
      </c>
      <c r="Q3" s="559"/>
      <c r="R3" s="559"/>
      <c r="S3" s="559"/>
      <c r="T3" s="559"/>
    </row>
    <row r="4" spans="1:20" ht="15" customHeight="1">
      <c r="A4" s="492" t="s">
        <v>217</v>
      </c>
      <c r="B4" s="456"/>
      <c r="C4" s="456"/>
      <c r="D4" s="456"/>
      <c r="E4" s="563"/>
      <c r="F4" s="563"/>
      <c r="G4" s="563"/>
      <c r="H4" s="563"/>
      <c r="I4" s="563"/>
      <c r="J4" s="563"/>
      <c r="K4" s="563"/>
      <c r="L4" s="563"/>
      <c r="M4" s="563"/>
      <c r="N4" s="563"/>
      <c r="O4" s="563"/>
      <c r="P4" s="564" t="s">
        <v>585</v>
      </c>
      <c r="Q4" s="556"/>
      <c r="R4" s="556"/>
      <c r="S4" s="556"/>
      <c r="T4" s="556"/>
    </row>
    <row r="5" spans="1:21" ht="20.25" customHeight="1">
      <c r="A5" s="1695" t="s">
        <v>72</v>
      </c>
      <c r="B5" s="1696"/>
      <c r="C5" s="1699" t="s">
        <v>586</v>
      </c>
      <c r="D5" s="1699"/>
      <c r="E5" s="1699"/>
      <c r="F5" s="1699" t="s">
        <v>587</v>
      </c>
      <c r="G5" s="1699"/>
      <c r="H5" s="1699"/>
      <c r="I5" s="1699"/>
      <c r="J5" s="1699"/>
      <c r="K5" s="1699"/>
      <c r="L5" s="1699"/>
      <c r="M5" s="1699"/>
      <c r="N5" s="1699"/>
      <c r="O5" s="1699"/>
      <c r="P5" s="1699" t="s">
        <v>588</v>
      </c>
      <c r="Q5" s="1699"/>
      <c r="R5" s="1699"/>
      <c r="S5" s="1699"/>
      <c r="T5" s="1699"/>
      <c r="U5" s="1699"/>
    </row>
    <row r="6" spans="1:21" ht="19.5" customHeight="1">
      <c r="A6" s="1697"/>
      <c r="B6" s="1698"/>
      <c r="C6" s="1699"/>
      <c r="D6" s="1699"/>
      <c r="E6" s="1699"/>
      <c r="F6" s="1699" t="s">
        <v>589</v>
      </c>
      <c r="G6" s="1699"/>
      <c r="H6" s="1699"/>
      <c r="I6" s="1699" t="s">
        <v>590</v>
      </c>
      <c r="J6" s="1699"/>
      <c r="K6" s="1699"/>
      <c r="L6" s="1699"/>
      <c r="M6" s="1699"/>
      <c r="N6" s="1699"/>
      <c r="O6" s="1699"/>
      <c r="P6" s="1699" t="s">
        <v>37</v>
      </c>
      <c r="Q6" s="1699" t="s">
        <v>7</v>
      </c>
      <c r="R6" s="1699"/>
      <c r="S6" s="1699"/>
      <c r="T6" s="1699"/>
      <c r="U6" s="1699"/>
    </row>
    <row r="7" spans="1:22" ht="34.5" customHeight="1">
      <c r="A7" s="1697"/>
      <c r="B7" s="1698"/>
      <c r="C7" s="1699"/>
      <c r="D7" s="1699"/>
      <c r="E7" s="1699"/>
      <c r="F7" s="1699"/>
      <c r="G7" s="1699"/>
      <c r="H7" s="1699"/>
      <c r="I7" s="1699" t="s">
        <v>591</v>
      </c>
      <c r="J7" s="1699"/>
      <c r="K7" s="1699"/>
      <c r="L7" s="1699" t="s">
        <v>592</v>
      </c>
      <c r="M7" s="1699"/>
      <c r="N7" s="1699"/>
      <c r="O7" s="1699"/>
      <c r="P7" s="1699"/>
      <c r="Q7" s="1699" t="s">
        <v>664</v>
      </c>
      <c r="R7" s="1699" t="s">
        <v>594</v>
      </c>
      <c r="S7" s="1699" t="s">
        <v>595</v>
      </c>
      <c r="T7" s="1699" t="s">
        <v>596</v>
      </c>
      <c r="U7" s="1699" t="s">
        <v>597</v>
      </c>
      <c r="V7" s="560" t="s">
        <v>598</v>
      </c>
    </row>
    <row r="8" spans="1:21" ht="18.75" customHeight="1">
      <c r="A8" s="1697"/>
      <c r="B8" s="1698"/>
      <c r="C8" s="1699" t="s">
        <v>37</v>
      </c>
      <c r="D8" s="1699" t="s">
        <v>7</v>
      </c>
      <c r="E8" s="1699"/>
      <c r="F8" s="1699" t="s">
        <v>37</v>
      </c>
      <c r="G8" s="1699" t="s">
        <v>7</v>
      </c>
      <c r="H8" s="1699"/>
      <c r="I8" s="1699" t="s">
        <v>37</v>
      </c>
      <c r="J8" s="1699" t="s">
        <v>7</v>
      </c>
      <c r="K8" s="1699"/>
      <c r="L8" s="1699" t="s">
        <v>37</v>
      </c>
      <c r="M8" s="1699" t="s">
        <v>599</v>
      </c>
      <c r="N8" s="1699"/>
      <c r="O8" s="1699"/>
      <c r="P8" s="1699"/>
      <c r="Q8" s="1700"/>
      <c r="R8" s="1699"/>
      <c r="S8" s="1699"/>
      <c r="T8" s="1699"/>
      <c r="U8" s="1699"/>
    </row>
    <row r="9" spans="1:23" ht="122.25" customHeight="1">
      <c r="A9" s="1697"/>
      <c r="B9" s="1698"/>
      <c r="C9" s="1699"/>
      <c r="D9" s="566" t="s">
        <v>600</v>
      </c>
      <c r="E9" s="566" t="s">
        <v>607</v>
      </c>
      <c r="F9" s="1699"/>
      <c r="G9" s="566" t="s">
        <v>600</v>
      </c>
      <c r="H9" s="566" t="s">
        <v>601</v>
      </c>
      <c r="I9" s="1699"/>
      <c r="J9" s="566" t="s">
        <v>602</v>
      </c>
      <c r="K9" s="566" t="s">
        <v>603</v>
      </c>
      <c r="L9" s="1699"/>
      <c r="M9" s="566" t="s">
        <v>604</v>
      </c>
      <c r="N9" s="566" t="s">
        <v>605</v>
      </c>
      <c r="O9" s="566" t="s">
        <v>606</v>
      </c>
      <c r="P9" s="1699"/>
      <c r="Q9" s="1700"/>
      <c r="R9" s="1699"/>
      <c r="S9" s="1699"/>
      <c r="T9" s="1699"/>
      <c r="U9" s="1699"/>
      <c r="V9" s="567"/>
      <c r="W9" s="567"/>
    </row>
    <row r="10" spans="1:29" ht="12.75">
      <c r="A10" s="569"/>
      <c r="B10" s="570" t="s">
        <v>608</v>
      </c>
      <c r="C10" s="571">
        <v>1</v>
      </c>
      <c r="D10" s="572">
        <v>2</v>
      </c>
      <c r="E10" s="571">
        <v>3</v>
      </c>
      <c r="F10" s="572">
        <v>4</v>
      </c>
      <c r="G10" s="571">
        <v>5</v>
      </c>
      <c r="H10" s="572">
        <v>6</v>
      </c>
      <c r="I10" s="571">
        <v>7</v>
      </c>
      <c r="J10" s="572">
        <v>8</v>
      </c>
      <c r="K10" s="571">
        <v>9</v>
      </c>
      <c r="L10" s="572">
        <v>10</v>
      </c>
      <c r="M10" s="571">
        <v>11</v>
      </c>
      <c r="N10" s="572">
        <v>12</v>
      </c>
      <c r="O10" s="571">
        <v>13</v>
      </c>
      <c r="P10" s="572">
        <v>14</v>
      </c>
      <c r="Q10" s="571">
        <v>15</v>
      </c>
      <c r="R10" s="572">
        <v>16</v>
      </c>
      <c r="S10" s="571">
        <v>17</v>
      </c>
      <c r="T10" s="572">
        <v>18</v>
      </c>
      <c r="U10" s="571">
        <v>19</v>
      </c>
      <c r="V10" s="568"/>
      <c r="W10" s="567"/>
      <c r="X10" s="567"/>
      <c r="Y10" s="567"/>
      <c r="Z10" s="567"/>
      <c r="AA10" s="567"/>
      <c r="AB10" s="567"/>
      <c r="AC10" s="567"/>
    </row>
    <row r="11" spans="1:29" s="575" customFormat="1" ht="16.5" customHeight="1">
      <c r="A11" s="1701" t="s">
        <v>37</v>
      </c>
      <c r="B11" s="1702"/>
      <c r="C11" s="809">
        <f aca="true" t="shared" si="0" ref="C11:U11">C12+C13</f>
        <v>32</v>
      </c>
      <c r="D11" s="809">
        <f t="shared" si="0"/>
        <v>1</v>
      </c>
      <c r="E11" s="809">
        <f t="shared" si="0"/>
        <v>31</v>
      </c>
      <c r="F11" s="809">
        <f t="shared" si="0"/>
        <v>32</v>
      </c>
      <c r="G11" s="809">
        <f t="shared" si="0"/>
        <v>1</v>
      </c>
      <c r="H11" s="809">
        <f t="shared" si="0"/>
        <v>31</v>
      </c>
      <c r="I11" s="809">
        <f t="shared" si="0"/>
        <v>32</v>
      </c>
      <c r="J11" s="809">
        <f t="shared" si="0"/>
        <v>26</v>
      </c>
      <c r="K11" s="809">
        <f t="shared" si="0"/>
        <v>6</v>
      </c>
      <c r="L11" s="809">
        <f t="shared" si="0"/>
        <v>0</v>
      </c>
      <c r="M11" s="809">
        <f t="shared" si="0"/>
        <v>0</v>
      </c>
      <c r="N11" s="809">
        <f t="shared" si="0"/>
        <v>0</v>
      </c>
      <c r="O11" s="809">
        <f t="shared" si="0"/>
        <v>0</v>
      </c>
      <c r="P11" s="809">
        <f t="shared" si="0"/>
        <v>32</v>
      </c>
      <c r="Q11" s="809">
        <f t="shared" si="0"/>
        <v>8</v>
      </c>
      <c r="R11" s="809">
        <f t="shared" si="0"/>
        <v>5</v>
      </c>
      <c r="S11" s="809">
        <f t="shared" si="0"/>
        <v>1</v>
      </c>
      <c r="T11" s="809">
        <f t="shared" si="0"/>
        <v>14</v>
      </c>
      <c r="U11" s="809">
        <f t="shared" si="0"/>
        <v>4</v>
      </c>
      <c r="V11" s="573"/>
      <c r="W11" s="574"/>
      <c r="X11" s="574"/>
      <c r="Y11" s="574"/>
      <c r="Z11" s="574"/>
      <c r="AA11" s="574"/>
      <c r="AB11" s="574"/>
      <c r="AC11" s="574"/>
    </row>
    <row r="12" spans="1:29" s="575" customFormat="1" ht="16.5" customHeight="1">
      <c r="A12" s="810" t="s">
        <v>0</v>
      </c>
      <c r="B12" s="811" t="s">
        <v>98</v>
      </c>
      <c r="C12" s="812">
        <f>D12+E12</f>
        <v>9</v>
      </c>
      <c r="D12" s="813">
        <v>0</v>
      </c>
      <c r="E12" s="813">
        <v>9</v>
      </c>
      <c r="F12" s="814">
        <f>G12+H12</f>
        <v>9</v>
      </c>
      <c r="G12" s="815">
        <v>0</v>
      </c>
      <c r="H12" s="815">
        <v>9</v>
      </c>
      <c r="I12" s="796">
        <f>J12+K12</f>
        <v>9</v>
      </c>
      <c r="J12" s="797">
        <v>3</v>
      </c>
      <c r="K12" s="797">
        <v>6</v>
      </c>
      <c r="L12" s="796">
        <f>M12+N12+O12</f>
        <v>0</v>
      </c>
      <c r="M12" s="797">
        <v>0</v>
      </c>
      <c r="N12" s="797">
        <v>0</v>
      </c>
      <c r="O12" s="797">
        <v>0</v>
      </c>
      <c r="P12" s="814">
        <f>Q12+R12+S12+T12+U12</f>
        <v>9</v>
      </c>
      <c r="Q12" s="797">
        <v>1</v>
      </c>
      <c r="R12" s="797">
        <v>0</v>
      </c>
      <c r="S12" s="797">
        <v>0</v>
      </c>
      <c r="T12" s="797">
        <v>5</v>
      </c>
      <c r="U12" s="797">
        <v>3</v>
      </c>
      <c r="V12" s="576"/>
      <c r="W12" s="574"/>
      <c r="X12" s="574"/>
      <c r="Y12" s="574"/>
      <c r="Z12" s="574"/>
      <c r="AA12" s="574"/>
      <c r="AB12" s="574"/>
      <c r="AC12" s="574"/>
    </row>
    <row r="13" spans="1:29" s="575" customFormat="1" ht="16.5" customHeight="1">
      <c r="A13" s="816" t="s">
        <v>1</v>
      </c>
      <c r="B13" s="817" t="s">
        <v>19</v>
      </c>
      <c r="C13" s="812">
        <f>C14+C15+C16+C17+C18+C19+C20+C21+C22+C23</f>
        <v>23</v>
      </c>
      <c r="D13" s="812">
        <f aca="true" t="shared" si="1" ref="D13:U13">D14+D15+D16+D17+D18+D19+D20+D21+D22+D23</f>
        <v>1</v>
      </c>
      <c r="E13" s="812">
        <f t="shared" si="1"/>
        <v>22</v>
      </c>
      <c r="F13" s="812">
        <f t="shared" si="1"/>
        <v>23</v>
      </c>
      <c r="G13" s="812">
        <f t="shared" si="1"/>
        <v>1</v>
      </c>
      <c r="H13" s="812">
        <f t="shared" si="1"/>
        <v>22</v>
      </c>
      <c r="I13" s="812">
        <f t="shared" si="1"/>
        <v>23</v>
      </c>
      <c r="J13" s="812">
        <f t="shared" si="1"/>
        <v>23</v>
      </c>
      <c r="K13" s="812">
        <f t="shared" si="1"/>
        <v>0</v>
      </c>
      <c r="L13" s="812">
        <f t="shared" si="1"/>
        <v>0</v>
      </c>
      <c r="M13" s="812">
        <f t="shared" si="1"/>
        <v>0</v>
      </c>
      <c r="N13" s="812">
        <f t="shared" si="1"/>
        <v>0</v>
      </c>
      <c r="O13" s="812">
        <f t="shared" si="1"/>
        <v>0</v>
      </c>
      <c r="P13" s="812">
        <f t="shared" si="1"/>
        <v>23</v>
      </c>
      <c r="Q13" s="812">
        <f t="shared" si="1"/>
        <v>7</v>
      </c>
      <c r="R13" s="812">
        <f t="shared" si="1"/>
        <v>5</v>
      </c>
      <c r="S13" s="812">
        <f t="shared" si="1"/>
        <v>1</v>
      </c>
      <c r="T13" s="812">
        <f t="shared" si="1"/>
        <v>9</v>
      </c>
      <c r="U13" s="812">
        <f t="shared" si="1"/>
        <v>1</v>
      </c>
      <c r="V13" s="574"/>
      <c r="W13" s="574"/>
      <c r="X13" s="574"/>
      <c r="Y13" s="574"/>
      <c r="Z13" s="574"/>
      <c r="AA13" s="574"/>
      <c r="AB13" s="574"/>
      <c r="AC13" s="574"/>
    </row>
    <row r="14" spans="1:29" s="575" customFormat="1" ht="15.75" customHeight="1">
      <c r="A14" s="806" t="s">
        <v>52</v>
      </c>
      <c r="B14" s="793" t="s">
        <v>748</v>
      </c>
      <c r="C14" s="1101">
        <f aca="true" t="shared" si="2" ref="C14:C23">D14+E14</f>
        <v>7</v>
      </c>
      <c r="D14" s="1102">
        <v>0</v>
      </c>
      <c r="E14" s="1102">
        <v>7</v>
      </c>
      <c r="F14" s="1103">
        <f aca="true" t="shared" si="3" ref="F14:F23">G14+H14</f>
        <v>7</v>
      </c>
      <c r="G14" s="1104">
        <v>0</v>
      </c>
      <c r="H14" s="1104">
        <v>7</v>
      </c>
      <c r="I14" s="1105">
        <f aca="true" t="shared" si="4" ref="I14:I23">J14+K14</f>
        <v>7</v>
      </c>
      <c r="J14" s="790">
        <v>7</v>
      </c>
      <c r="K14" s="790">
        <v>0</v>
      </c>
      <c r="L14" s="1105">
        <f aca="true" t="shared" si="5" ref="L14:L23">M14+N14+O14</f>
        <v>0</v>
      </c>
      <c r="M14" s="790">
        <v>0</v>
      </c>
      <c r="N14" s="790">
        <v>0</v>
      </c>
      <c r="O14" s="790">
        <v>0</v>
      </c>
      <c r="P14" s="1103">
        <f aca="true" t="shared" si="6" ref="P14:P23">Q14+R14+S14+T14+U14</f>
        <v>7</v>
      </c>
      <c r="Q14" s="790">
        <v>5</v>
      </c>
      <c r="R14" s="790">
        <v>1</v>
      </c>
      <c r="S14" s="790">
        <v>0</v>
      </c>
      <c r="T14" s="790">
        <v>1</v>
      </c>
      <c r="U14" s="790">
        <v>0</v>
      </c>
      <c r="V14" s="574"/>
      <c r="W14" s="574"/>
      <c r="X14" s="574"/>
      <c r="Y14" s="574"/>
      <c r="Z14" s="574"/>
      <c r="AA14" s="574"/>
      <c r="AB14" s="574"/>
      <c r="AC14" s="574"/>
    </row>
    <row r="15" spans="1:29" s="575" customFormat="1" ht="15.75" customHeight="1">
      <c r="A15" s="806" t="s">
        <v>53</v>
      </c>
      <c r="B15" s="793" t="s">
        <v>749</v>
      </c>
      <c r="C15" s="1101">
        <f t="shared" si="2"/>
        <v>3</v>
      </c>
      <c r="D15" s="1102">
        <v>0</v>
      </c>
      <c r="E15" s="1102">
        <v>3</v>
      </c>
      <c r="F15" s="1103">
        <f t="shared" si="3"/>
        <v>3</v>
      </c>
      <c r="G15" s="1104">
        <v>0</v>
      </c>
      <c r="H15" s="1104">
        <v>3</v>
      </c>
      <c r="I15" s="1105">
        <f t="shared" si="4"/>
        <v>3</v>
      </c>
      <c r="J15" s="790">
        <v>3</v>
      </c>
      <c r="K15" s="790">
        <v>0</v>
      </c>
      <c r="L15" s="1105">
        <f t="shared" si="5"/>
        <v>0</v>
      </c>
      <c r="M15" s="790">
        <v>0</v>
      </c>
      <c r="N15" s="790">
        <v>0</v>
      </c>
      <c r="O15" s="790">
        <v>0</v>
      </c>
      <c r="P15" s="1103">
        <f t="shared" si="6"/>
        <v>3</v>
      </c>
      <c r="Q15" s="790">
        <v>0</v>
      </c>
      <c r="R15" s="790">
        <v>3</v>
      </c>
      <c r="S15" s="790">
        <v>0</v>
      </c>
      <c r="T15" s="790">
        <v>0</v>
      </c>
      <c r="U15" s="790">
        <v>0</v>
      </c>
      <c r="V15" s="574"/>
      <c r="W15" s="574"/>
      <c r="X15" s="574"/>
      <c r="Y15" s="574"/>
      <c r="Z15" s="574"/>
      <c r="AA15" s="574"/>
      <c r="AB15" s="574"/>
      <c r="AC15" s="574"/>
    </row>
    <row r="16" spans="1:29" s="575" customFormat="1" ht="15.75" customHeight="1">
      <c r="A16" s="806" t="s">
        <v>58</v>
      </c>
      <c r="B16" s="793" t="s">
        <v>750</v>
      </c>
      <c r="C16" s="1101">
        <f t="shared" si="2"/>
        <v>5</v>
      </c>
      <c r="D16" s="1106">
        <v>0</v>
      </c>
      <c r="E16" s="1106">
        <v>5</v>
      </c>
      <c r="F16" s="1103">
        <f t="shared" si="3"/>
        <v>5</v>
      </c>
      <c r="G16" s="1104">
        <v>0</v>
      </c>
      <c r="H16" s="1104">
        <v>5</v>
      </c>
      <c r="I16" s="1105">
        <f t="shared" si="4"/>
        <v>5</v>
      </c>
      <c r="J16" s="790">
        <v>5</v>
      </c>
      <c r="K16" s="790">
        <v>0</v>
      </c>
      <c r="L16" s="1105">
        <f t="shared" si="5"/>
        <v>0</v>
      </c>
      <c r="M16" s="790">
        <v>0</v>
      </c>
      <c r="N16" s="790">
        <v>0</v>
      </c>
      <c r="O16" s="790">
        <v>0</v>
      </c>
      <c r="P16" s="1103">
        <f t="shared" si="6"/>
        <v>5</v>
      </c>
      <c r="Q16" s="790">
        <v>2</v>
      </c>
      <c r="R16" s="790">
        <v>0</v>
      </c>
      <c r="S16" s="790">
        <v>0</v>
      </c>
      <c r="T16" s="790">
        <v>3</v>
      </c>
      <c r="U16" s="790">
        <v>0</v>
      </c>
      <c r="V16" s="574"/>
      <c r="W16" s="574"/>
      <c r="X16" s="574"/>
      <c r="Y16" s="574"/>
      <c r="Z16" s="574"/>
      <c r="AA16" s="574"/>
      <c r="AB16" s="574"/>
      <c r="AC16" s="574"/>
    </row>
    <row r="17" spans="1:29" s="575" customFormat="1" ht="15.75" customHeight="1">
      <c r="A17" s="806" t="s">
        <v>73</v>
      </c>
      <c r="B17" s="793" t="s">
        <v>751</v>
      </c>
      <c r="C17" s="1101">
        <f t="shared" si="2"/>
        <v>1</v>
      </c>
      <c r="D17" s="1106">
        <v>0</v>
      </c>
      <c r="E17" s="1106">
        <v>1</v>
      </c>
      <c r="F17" s="1103">
        <f t="shared" si="3"/>
        <v>1</v>
      </c>
      <c r="G17" s="1104">
        <v>0</v>
      </c>
      <c r="H17" s="1104">
        <v>1</v>
      </c>
      <c r="I17" s="1105">
        <f t="shared" si="4"/>
        <v>1</v>
      </c>
      <c r="J17" s="790">
        <v>1</v>
      </c>
      <c r="K17" s="790">
        <v>0</v>
      </c>
      <c r="L17" s="1105">
        <f t="shared" si="5"/>
        <v>0</v>
      </c>
      <c r="M17" s="790">
        <v>0</v>
      </c>
      <c r="N17" s="790">
        <v>0</v>
      </c>
      <c r="O17" s="790">
        <v>0</v>
      </c>
      <c r="P17" s="1103">
        <f t="shared" si="6"/>
        <v>1</v>
      </c>
      <c r="Q17" s="790">
        <v>0</v>
      </c>
      <c r="R17" s="790">
        <v>1</v>
      </c>
      <c r="S17" s="790">
        <v>0</v>
      </c>
      <c r="T17" s="790">
        <v>0</v>
      </c>
      <c r="U17" s="790">
        <v>0</v>
      </c>
      <c r="V17" s="574"/>
      <c r="W17" s="574"/>
      <c r="X17" s="574"/>
      <c r="Y17" s="574"/>
      <c r="Z17" s="574"/>
      <c r="AA17" s="574"/>
      <c r="AB17" s="574"/>
      <c r="AC17" s="574"/>
    </row>
    <row r="18" spans="1:29" s="575" customFormat="1" ht="15.75" customHeight="1">
      <c r="A18" s="806" t="s">
        <v>74</v>
      </c>
      <c r="B18" s="793" t="s">
        <v>752</v>
      </c>
      <c r="C18" s="1101">
        <f t="shared" si="2"/>
        <v>4</v>
      </c>
      <c r="D18" s="1106">
        <v>0</v>
      </c>
      <c r="E18" s="1106">
        <v>4</v>
      </c>
      <c r="F18" s="1103">
        <f t="shared" si="3"/>
        <v>4</v>
      </c>
      <c r="G18" s="1104">
        <v>0</v>
      </c>
      <c r="H18" s="1104">
        <v>4</v>
      </c>
      <c r="I18" s="1105">
        <f>J18+K18</f>
        <v>4</v>
      </c>
      <c r="J18" s="790">
        <v>4</v>
      </c>
      <c r="K18" s="790">
        <v>0</v>
      </c>
      <c r="L18" s="1105">
        <f t="shared" si="5"/>
        <v>0</v>
      </c>
      <c r="M18" s="790">
        <v>0</v>
      </c>
      <c r="N18" s="790">
        <v>0</v>
      </c>
      <c r="O18" s="790">
        <v>0</v>
      </c>
      <c r="P18" s="1103">
        <f t="shared" si="6"/>
        <v>4</v>
      </c>
      <c r="Q18" s="790">
        <v>0</v>
      </c>
      <c r="R18" s="790">
        <v>0</v>
      </c>
      <c r="S18" s="790">
        <v>0</v>
      </c>
      <c r="T18" s="790">
        <v>4</v>
      </c>
      <c r="U18" s="790">
        <v>0</v>
      </c>
      <c r="V18" s="574"/>
      <c r="W18" s="574"/>
      <c r="X18" s="574"/>
      <c r="Y18" s="574"/>
      <c r="Z18" s="574"/>
      <c r="AA18" s="574"/>
      <c r="AB18" s="574"/>
      <c r="AC18" s="574"/>
    </row>
    <row r="19" spans="1:29" s="575" customFormat="1" ht="15.75" customHeight="1">
      <c r="A19" s="806" t="s">
        <v>75</v>
      </c>
      <c r="B19" s="793" t="s">
        <v>753</v>
      </c>
      <c r="C19" s="1101">
        <f t="shared" si="2"/>
        <v>1</v>
      </c>
      <c r="D19" s="1106">
        <v>0</v>
      </c>
      <c r="E19" s="1106">
        <v>1</v>
      </c>
      <c r="F19" s="1103">
        <f t="shared" si="3"/>
        <v>1</v>
      </c>
      <c r="G19" s="1104">
        <v>0</v>
      </c>
      <c r="H19" s="1104">
        <v>1</v>
      </c>
      <c r="I19" s="1105">
        <f t="shared" si="4"/>
        <v>1</v>
      </c>
      <c r="J19" s="790">
        <v>1</v>
      </c>
      <c r="K19" s="790">
        <v>0</v>
      </c>
      <c r="L19" s="1105">
        <f t="shared" si="5"/>
        <v>0</v>
      </c>
      <c r="M19" s="790">
        <v>0</v>
      </c>
      <c r="N19" s="790">
        <v>0</v>
      </c>
      <c r="O19" s="790">
        <v>0</v>
      </c>
      <c r="P19" s="1103">
        <f t="shared" si="6"/>
        <v>1</v>
      </c>
      <c r="Q19" s="790">
        <v>0</v>
      </c>
      <c r="R19" s="790">
        <v>0</v>
      </c>
      <c r="S19" s="790">
        <v>0</v>
      </c>
      <c r="T19" s="790">
        <v>1</v>
      </c>
      <c r="U19" s="790">
        <v>0</v>
      </c>
      <c r="V19" s="574"/>
      <c r="W19" s="574"/>
      <c r="X19" s="574"/>
      <c r="Y19" s="574"/>
      <c r="Z19" s="574"/>
      <c r="AA19" s="574"/>
      <c r="AB19" s="574"/>
      <c r="AC19" s="574"/>
    </row>
    <row r="20" spans="1:29" s="575" customFormat="1" ht="15.75" customHeight="1">
      <c r="A20" s="806" t="s">
        <v>76</v>
      </c>
      <c r="B20" s="793" t="s">
        <v>754</v>
      </c>
      <c r="C20" s="1101">
        <f t="shared" si="2"/>
        <v>1</v>
      </c>
      <c r="D20" s="1106">
        <v>1</v>
      </c>
      <c r="E20" s="1106">
        <v>0</v>
      </c>
      <c r="F20" s="1103">
        <f t="shared" si="3"/>
        <v>1</v>
      </c>
      <c r="G20" s="1104">
        <v>1</v>
      </c>
      <c r="H20" s="1104">
        <v>0</v>
      </c>
      <c r="I20" s="1105">
        <f t="shared" si="4"/>
        <v>1</v>
      </c>
      <c r="J20" s="790">
        <v>1</v>
      </c>
      <c r="K20" s="790">
        <v>0</v>
      </c>
      <c r="L20" s="1105">
        <f t="shared" si="5"/>
        <v>0</v>
      </c>
      <c r="M20" s="790">
        <v>0</v>
      </c>
      <c r="N20" s="790">
        <v>0</v>
      </c>
      <c r="O20" s="790">
        <v>0</v>
      </c>
      <c r="P20" s="1103">
        <f t="shared" si="6"/>
        <v>1</v>
      </c>
      <c r="Q20" s="790">
        <v>0</v>
      </c>
      <c r="R20" s="790">
        <v>0</v>
      </c>
      <c r="S20" s="790">
        <v>0</v>
      </c>
      <c r="T20" s="790">
        <v>0</v>
      </c>
      <c r="U20" s="790">
        <v>1</v>
      </c>
      <c r="V20" s="574"/>
      <c r="W20" s="574"/>
      <c r="X20" s="574"/>
      <c r="Y20" s="574"/>
      <c r="Z20" s="574"/>
      <c r="AA20" s="574"/>
      <c r="AB20" s="574"/>
      <c r="AC20" s="574"/>
    </row>
    <row r="21" spans="1:29" s="575" customFormat="1" ht="15.75" customHeight="1">
      <c r="A21" s="806" t="s">
        <v>77</v>
      </c>
      <c r="B21" s="793" t="s">
        <v>755</v>
      </c>
      <c r="C21" s="1101">
        <f t="shared" si="2"/>
        <v>1</v>
      </c>
      <c r="D21" s="1106">
        <v>0</v>
      </c>
      <c r="E21" s="1106">
        <v>1</v>
      </c>
      <c r="F21" s="1103">
        <f t="shared" si="3"/>
        <v>1</v>
      </c>
      <c r="G21" s="1104">
        <v>0</v>
      </c>
      <c r="H21" s="1104">
        <v>1</v>
      </c>
      <c r="I21" s="1105">
        <f t="shared" si="4"/>
        <v>1</v>
      </c>
      <c r="J21" s="790">
        <v>1</v>
      </c>
      <c r="K21" s="790">
        <v>0</v>
      </c>
      <c r="L21" s="1105">
        <f t="shared" si="5"/>
        <v>0</v>
      </c>
      <c r="M21" s="790">
        <v>0</v>
      </c>
      <c r="N21" s="790">
        <v>0</v>
      </c>
      <c r="O21" s="790">
        <v>0</v>
      </c>
      <c r="P21" s="1103">
        <f t="shared" si="6"/>
        <v>1</v>
      </c>
      <c r="Q21" s="790">
        <v>0</v>
      </c>
      <c r="R21" s="790">
        <v>0</v>
      </c>
      <c r="S21" s="790">
        <v>1</v>
      </c>
      <c r="T21" s="790">
        <v>0</v>
      </c>
      <c r="U21" s="790">
        <v>0</v>
      </c>
      <c r="V21" s="574"/>
      <c r="W21" s="574"/>
      <c r="X21" s="574"/>
      <c r="Y21" s="574"/>
      <c r="Z21" s="574"/>
      <c r="AA21" s="574"/>
      <c r="AB21" s="574"/>
      <c r="AC21" s="574"/>
    </row>
    <row r="22" spans="1:29" s="575" customFormat="1" ht="15.75" customHeight="1">
      <c r="A22" s="806" t="s">
        <v>78</v>
      </c>
      <c r="B22" s="793" t="s">
        <v>756</v>
      </c>
      <c r="C22" s="1101">
        <f t="shared" si="2"/>
        <v>0</v>
      </c>
      <c r="D22" s="1106">
        <v>0</v>
      </c>
      <c r="E22" s="1106">
        <v>0</v>
      </c>
      <c r="F22" s="1103">
        <f t="shared" si="3"/>
        <v>0</v>
      </c>
      <c r="G22" s="1104">
        <v>0</v>
      </c>
      <c r="H22" s="1104">
        <v>0</v>
      </c>
      <c r="I22" s="1105">
        <f t="shared" si="4"/>
        <v>0</v>
      </c>
      <c r="J22" s="790">
        <v>0</v>
      </c>
      <c r="K22" s="790">
        <v>0</v>
      </c>
      <c r="L22" s="1105">
        <f t="shared" si="5"/>
        <v>0</v>
      </c>
      <c r="M22" s="790">
        <v>0</v>
      </c>
      <c r="N22" s="790">
        <v>0</v>
      </c>
      <c r="O22" s="790">
        <v>0</v>
      </c>
      <c r="P22" s="1103">
        <f t="shared" si="6"/>
        <v>0</v>
      </c>
      <c r="Q22" s="790">
        <v>0</v>
      </c>
      <c r="R22" s="790">
        <v>0</v>
      </c>
      <c r="S22" s="790">
        <v>0</v>
      </c>
      <c r="T22" s="790">
        <v>0</v>
      </c>
      <c r="U22" s="790">
        <v>0</v>
      </c>
      <c r="V22" s="574"/>
      <c r="W22" s="574"/>
      <c r="X22" s="574"/>
      <c r="Y22" s="574"/>
      <c r="Z22" s="574"/>
      <c r="AA22" s="574"/>
      <c r="AB22" s="574"/>
      <c r="AC22" s="574"/>
    </row>
    <row r="23" spans="1:29" s="575" customFormat="1" ht="15.75" customHeight="1" thickBot="1">
      <c r="A23" s="807" t="s">
        <v>101</v>
      </c>
      <c r="B23" s="1069" t="s">
        <v>757</v>
      </c>
      <c r="C23" s="1107">
        <f t="shared" si="2"/>
        <v>0</v>
      </c>
      <c r="D23" s="1108">
        <v>0</v>
      </c>
      <c r="E23" s="1108">
        <v>0</v>
      </c>
      <c r="F23" s="1109">
        <f t="shared" si="3"/>
        <v>0</v>
      </c>
      <c r="G23" s="1110">
        <v>0</v>
      </c>
      <c r="H23" s="1110">
        <v>0</v>
      </c>
      <c r="I23" s="1109">
        <f t="shared" si="4"/>
        <v>0</v>
      </c>
      <c r="J23" s="795">
        <v>0</v>
      </c>
      <c r="K23" s="795">
        <v>0</v>
      </c>
      <c r="L23" s="1109">
        <f t="shared" si="5"/>
        <v>0</v>
      </c>
      <c r="M23" s="795">
        <v>0</v>
      </c>
      <c r="N23" s="795">
        <v>0</v>
      </c>
      <c r="O23" s="795">
        <v>0</v>
      </c>
      <c r="P23" s="1111">
        <f t="shared" si="6"/>
        <v>0</v>
      </c>
      <c r="Q23" s="795">
        <v>0</v>
      </c>
      <c r="R23" s="795">
        <v>0</v>
      </c>
      <c r="S23" s="795">
        <v>0</v>
      </c>
      <c r="T23" s="795">
        <v>0</v>
      </c>
      <c r="U23" s="795">
        <v>0</v>
      </c>
      <c r="V23" s="574"/>
      <c r="W23" s="574"/>
      <c r="X23" s="574"/>
      <c r="Y23" s="574"/>
      <c r="Z23" s="574"/>
      <c r="AA23" s="574"/>
      <c r="AB23" s="574"/>
      <c r="AC23" s="574"/>
    </row>
    <row r="24" spans="1:21" ht="22.5" customHeight="1" thickTop="1">
      <c r="A24" s="577"/>
      <c r="B24" s="1703"/>
      <c r="C24" s="1703"/>
      <c r="D24" s="1703"/>
      <c r="E24" s="1703"/>
      <c r="F24" s="1703"/>
      <c r="G24" s="1703"/>
      <c r="H24" s="1094"/>
      <c r="I24" s="1094"/>
      <c r="J24" s="1094"/>
      <c r="K24" s="1094"/>
      <c r="L24" s="1094"/>
      <c r="M24" s="683"/>
      <c r="N24" s="1704" t="str">
        <f>'Thong tin'!B9</f>
        <v>Bình Thuận, ngày 04 tháng 8 năm 2016</v>
      </c>
      <c r="O24" s="1704"/>
      <c r="P24" s="1704"/>
      <c r="Q24" s="1704"/>
      <c r="R24" s="1704"/>
      <c r="S24" s="1704"/>
      <c r="T24" s="1704"/>
      <c r="U24" s="1704"/>
    </row>
    <row r="25" spans="1:21" ht="17.25" customHeight="1">
      <c r="A25" s="577"/>
      <c r="B25" s="1705" t="s">
        <v>4</v>
      </c>
      <c r="C25" s="1705"/>
      <c r="D25" s="1705"/>
      <c r="E25" s="1705"/>
      <c r="F25" s="1705"/>
      <c r="G25" s="1705"/>
      <c r="H25" s="1096"/>
      <c r="I25" s="1096"/>
      <c r="J25" s="1096"/>
      <c r="K25" s="1096"/>
      <c r="L25" s="1096"/>
      <c r="M25" s="683"/>
      <c r="N25" s="1706" t="str">
        <f>'Thong tin'!B7</f>
        <v>KT. CỤC TRƯỞNG</v>
      </c>
      <c r="O25" s="1706"/>
      <c r="P25" s="1706"/>
      <c r="Q25" s="1706"/>
      <c r="R25" s="1706"/>
      <c r="S25" s="1706"/>
      <c r="T25" s="1706"/>
      <c r="U25" s="1706"/>
    </row>
    <row r="26" spans="1:21" ht="18" customHeight="1">
      <c r="A26" s="579"/>
      <c r="B26" s="1709"/>
      <c r="C26" s="1709"/>
      <c r="D26" s="1709"/>
      <c r="E26" s="1709"/>
      <c r="F26" s="1709"/>
      <c r="G26" s="1099"/>
      <c r="H26" s="1099"/>
      <c r="I26" s="1099"/>
      <c r="J26" s="1099"/>
      <c r="K26" s="1099"/>
      <c r="L26" s="1099"/>
      <c r="M26" s="1099"/>
      <c r="N26" s="1706" t="str">
        <f>'Thong tin'!B8</f>
        <v>PHÓ CỤC TRƯỞNG</v>
      </c>
      <c r="O26" s="1706"/>
      <c r="P26" s="1706"/>
      <c r="Q26" s="1706"/>
      <c r="R26" s="1706"/>
      <c r="S26" s="1706"/>
      <c r="T26" s="1706"/>
      <c r="U26" s="1706"/>
    </row>
    <row r="27" spans="2:21" ht="23.25" customHeight="1">
      <c r="B27" s="1710"/>
      <c r="C27" s="1710"/>
      <c r="D27" s="1710"/>
      <c r="E27" s="1710"/>
      <c r="F27" s="1710"/>
      <c r="G27" s="683"/>
      <c r="H27" s="683"/>
      <c r="I27" s="683"/>
      <c r="J27" s="683"/>
      <c r="K27" s="683"/>
      <c r="L27" s="683"/>
      <c r="M27" s="683"/>
      <c r="N27" s="683"/>
      <c r="O27" s="683"/>
      <c r="P27" s="1710"/>
      <c r="Q27" s="1710"/>
      <c r="R27" s="1710"/>
      <c r="S27" s="1710"/>
      <c r="T27" s="1710"/>
      <c r="U27" s="683"/>
    </row>
    <row r="28" spans="2:21" ht="3" customHeight="1">
      <c r="B28" s="683"/>
      <c r="C28" s="683"/>
      <c r="D28" s="683"/>
      <c r="E28" s="683"/>
      <c r="F28" s="683"/>
      <c r="G28" s="683"/>
      <c r="H28" s="683"/>
      <c r="I28" s="683"/>
      <c r="J28" s="683"/>
      <c r="K28" s="683"/>
      <c r="L28" s="683"/>
      <c r="M28" s="683"/>
      <c r="N28" s="683"/>
      <c r="O28" s="683"/>
      <c r="P28" s="683"/>
      <c r="Q28" s="1711"/>
      <c r="R28" s="1711"/>
      <c r="S28" s="683"/>
      <c r="T28" s="683"/>
      <c r="U28" s="683"/>
    </row>
    <row r="29" spans="2:21" ht="10.5" customHeight="1">
      <c r="B29" s="683"/>
      <c r="C29" s="683"/>
      <c r="D29" s="683"/>
      <c r="E29" s="683"/>
      <c r="F29" s="683"/>
      <c r="G29" s="683"/>
      <c r="H29" s="683"/>
      <c r="I29" s="683"/>
      <c r="J29" s="683"/>
      <c r="K29" s="683"/>
      <c r="L29" s="683"/>
      <c r="M29" s="683"/>
      <c r="N29" s="683"/>
      <c r="O29" s="683"/>
      <c r="P29" s="683"/>
      <c r="Q29" s="683"/>
      <c r="R29" s="683"/>
      <c r="S29" s="683"/>
      <c r="T29" s="683"/>
      <c r="U29" s="683"/>
    </row>
    <row r="30" spans="2:21" ht="16.5">
      <c r="B30" s="683"/>
      <c r="C30" s="683"/>
      <c r="D30" s="683"/>
      <c r="E30" s="683"/>
      <c r="F30" s="683"/>
      <c r="G30" s="683"/>
      <c r="H30" s="683"/>
      <c r="I30" s="683"/>
      <c r="J30" s="683" t="s">
        <v>598</v>
      </c>
      <c r="K30" s="683"/>
      <c r="L30" s="683"/>
      <c r="M30" s="683"/>
      <c r="N30" s="683"/>
      <c r="O30" s="683"/>
      <c r="P30" s="683"/>
      <c r="Q30" s="683"/>
      <c r="R30" s="683"/>
      <c r="S30" s="683"/>
      <c r="T30" s="683"/>
      <c r="U30" s="683"/>
    </row>
    <row r="31" spans="2:21" ht="16.5">
      <c r="B31" s="1636" t="str">
        <f>'Thong tin'!B5</f>
        <v>Trần Quốc Bảo</v>
      </c>
      <c r="C31" s="1636"/>
      <c r="D31" s="1636"/>
      <c r="E31" s="1636"/>
      <c r="F31" s="1636"/>
      <c r="G31" s="1636"/>
      <c r="H31" s="682"/>
      <c r="I31" s="683"/>
      <c r="J31" s="683"/>
      <c r="K31" s="683"/>
      <c r="L31" s="683"/>
      <c r="M31" s="683"/>
      <c r="N31" s="1636" t="str">
        <f>'Thong tin'!B6</f>
        <v>Trần Nam</v>
      </c>
      <c r="O31" s="1636"/>
      <c r="P31" s="1636"/>
      <c r="Q31" s="1636"/>
      <c r="R31" s="1636"/>
      <c r="S31" s="1636"/>
      <c r="T31" s="1636"/>
      <c r="U31" s="1636"/>
    </row>
    <row r="33" spans="15:20" ht="12.75">
      <c r="O33" s="1707"/>
      <c r="P33" s="1707"/>
      <c r="Q33" s="1707"/>
      <c r="R33" s="1707"/>
      <c r="S33" s="1707"/>
      <c r="T33" s="1707"/>
    </row>
    <row r="35" ht="12.75" hidden="1"/>
    <row r="36" spans="1:14" ht="12.75" customHeight="1" hidden="1">
      <c r="A36" s="581" t="s">
        <v>226</v>
      </c>
      <c r="B36" s="582"/>
      <c r="C36" s="582"/>
      <c r="D36" s="582"/>
      <c r="E36" s="582"/>
      <c r="F36" s="582"/>
      <c r="G36" s="582"/>
      <c r="H36" s="582"/>
      <c r="I36" s="582"/>
      <c r="J36" s="582"/>
      <c r="K36" s="582"/>
      <c r="L36" s="582"/>
      <c r="M36" s="582"/>
      <c r="N36" s="582"/>
    </row>
    <row r="37" spans="1:14" s="583" customFormat="1" ht="15.75" customHeight="1" hidden="1">
      <c r="A37" s="1708" t="s">
        <v>609</v>
      </c>
      <c r="B37" s="1708"/>
      <c r="C37" s="1708"/>
      <c r="D37" s="1708"/>
      <c r="E37" s="1708"/>
      <c r="F37" s="1708"/>
      <c r="G37" s="1708"/>
      <c r="H37" s="1708"/>
      <c r="I37" s="1708"/>
      <c r="J37" s="1708"/>
      <c r="K37" s="1708"/>
      <c r="L37" s="582"/>
      <c r="M37" s="582"/>
      <c r="N37" s="582"/>
    </row>
    <row r="38" spans="1:14" s="586" customFormat="1" ht="15" hidden="1">
      <c r="A38" s="584" t="s">
        <v>610</v>
      </c>
      <c r="B38" s="585"/>
      <c r="C38" s="585"/>
      <c r="D38" s="585"/>
      <c r="E38" s="585"/>
      <c r="F38" s="585"/>
      <c r="G38" s="585"/>
      <c r="H38" s="585"/>
      <c r="I38" s="585"/>
      <c r="J38" s="585"/>
      <c r="K38" s="585"/>
      <c r="L38" s="585"/>
      <c r="M38" s="585"/>
      <c r="N38" s="585"/>
    </row>
    <row r="39" spans="1:14" s="583" customFormat="1" ht="15" hidden="1">
      <c r="A39" s="584" t="s">
        <v>611</v>
      </c>
      <c r="B39" s="585"/>
      <c r="C39" s="585"/>
      <c r="D39" s="585"/>
      <c r="E39" s="585"/>
      <c r="F39" s="585"/>
      <c r="G39" s="585"/>
      <c r="H39" s="585"/>
      <c r="I39" s="585"/>
      <c r="J39" s="585"/>
      <c r="K39" s="585"/>
      <c r="L39" s="587"/>
      <c r="M39" s="587"/>
      <c r="N39" s="587"/>
    </row>
    <row r="40" spans="1:14" s="583" customFormat="1" ht="15" hidden="1">
      <c r="A40" s="587"/>
      <c r="B40" s="587"/>
      <c r="C40" s="587"/>
      <c r="D40" s="587"/>
      <c r="E40" s="587"/>
      <c r="F40" s="587"/>
      <c r="G40" s="587"/>
      <c r="H40" s="587"/>
      <c r="I40" s="587"/>
      <c r="J40" s="587"/>
      <c r="K40" s="587"/>
      <c r="L40" s="587"/>
      <c r="M40" s="587"/>
      <c r="N40" s="587"/>
    </row>
    <row r="41" spans="1:14" ht="12.75" hidden="1">
      <c r="A41" s="579"/>
      <c r="B41" s="579"/>
      <c r="C41" s="579"/>
      <c r="D41" s="579"/>
      <c r="E41" s="579"/>
      <c r="F41" s="579"/>
      <c r="G41" s="579"/>
      <c r="H41" s="579"/>
      <c r="I41" s="579"/>
      <c r="J41" s="579"/>
      <c r="K41" s="579"/>
      <c r="L41" s="579"/>
      <c r="M41" s="579"/>
      <c r="N41" s="579"/>
    </row>
    <row r="42" ht="15.75" hidden="1">
      <c r="H42" s="518"/>
    </row>
    <row r="43" ht="12.75" hidden="1"/>
    <row r="44" ht="12.75" hidden="1"/>
    <row r="45" ht="12.75" hidden="1"/>
    <row r="46" ht="12.75" hidden="1"/>
    <row r="47" ht="12.75" hidden="1">
      <c r="D47" s="588"/>
    </row>
    <row r="48" ht="12.75" hidden="1">
      <c r="C48" s="588"/>
    </row>
    <row r="49" ht="12.75" hidden="1"/>
    <row r="50" ht="12.75" hidden="1"/>
    <row r="51" ht="12.75" hidden="1">
      <c r="L51" s="588" t="e">
        <f>J51/K51</f>
        <v>#DIV/0!</v>
      </c>
    </row>
    <row r="52" ht="12.75" hidden="1"/>
    <row r="53" ht="12.75" hidden="1"/>
    <row r="54" ht="12.75" hidden="1"/>
    <row r="55" ht="12.75" hidden="1"/>
    <row r="56" ht="12.75" hidden="1"/>
    <row r="57" ht="12.75" hidden="1"/>
    <row r="58" ht="12.75" hidden="1"/>
    <row r="59" ht="12.75" hidden="1"/>
    <row r="60" ht="12.75" hidden="1"/>
  </sheetData>
  <sheetProtection/>
  <mergeCells count="41">
    <mergeCell ref="O33:T33"/>
    <mergeCell ref="A37:K37"/>
    <mergeCell ref="B26:F26"/>
    <mergeCell ref="N26:U26"/>
    <mergeCell ref="B27:F27"/>
    <mergeCell ref="P27:T27"/>
    <mergeCell ref="Q28:R28"/>
    <mergeCell ref="B31:G31"/>
    <mergeCell ref="N31:U31"/>
    <mergeCell ref="A11:B11"/>
    <mergeCell ref="B24:G24"/>
    <mergeCell ref="N24:U24"/>
    <mergeCell ref="B25:G25"/>
    <mergeCell ref="N25:U25"/>
    <mergeCell ref="T7:T9"/>
    <mergeCell ref="U7:U9"/>
    <mergeCell ref="C8:C9"/>
    <mergeCell ref="D8:E8"/>
    <mergeCell ref="F8:F9"/>
    <mergeCell ref="G8:H8"/>
    <mergeCell ref="I8:I9"/>
    <mergeCell ref="J8:K8"/>
    <mergeCell ref="L8:L9"/>
    <mergeCell ref="M8:O8"/>
    <mergeCell ref="P5:U5"/>
    <mergeCell ref="F6:H7"/>
    <mergeCell ref="I6:O6"/>
    <mergeCell ref="P6:P9"/>
    <mergeCell ref="Q6:U6"/>
    <mergeCell ref="I7:K7"/>
    <mergeCell ref="L7:O7"/>
    <mergeCell ref="Q7:Q9"/>
    <mergeCell ref="R7:R9"/>
    <mergeCell ref="S7:S9"/>
    <mergeCell ref="F1:N2"/>
    <mergeCell ref="F3:N3"/>
    <mergeCell ref="A5:B9"/>
    <mergeCell ref="C5:E7"/>
    <mergeCell ref="F5:O5"/>
    <mergeCell ref="A2:D2"/>
    <mergeCell ref="A3:D3"/>
  </mergeCells>
  <printOptions/>
  <pageMargins left="0.49" right="0" top="0.14" bottom="0" header="0.07" footer="0.15"/>
  <pageSetup horizontalDpi="600" verticalDpi="600" orientation="landscape" paperSize="9" scale="90" r:id="rId2"/>
  <drawing r:id="rId1"/>
</worksheet>
</file>

<file path=xl/worksheets/sheet28.xml><?xml version="1.0" encoding="utf-8"?>
<worksheet xmlns="http://schemas.openxmlformats.org/spreadsheetml/2006/main" xmlns:r="http://schemas.openxmlformats.org/officeDocument/2006/relationships">
  <sheetPr>
    <tabColor indexed="13"/>
  </sheetPr>
  <dimension ref="A1:U35"/>
  <sheetViews>
    <sheetView view="pageBreakPreview" zoomScaleSheetLayoutView="100" zoomScalePageLayoutView="0" workbookViewId="0" topLeftCell="A1">
      <selection activeCell="Q12" sqref="Q12"/>
    </sheetView>
  </sheetViews>
  <sheetFormatPr defaultColWidth="9.00390625" defaultRowHeight="15.75"/>
  <cols>
    <col min="1" max="1" width="3.50390625" style="592" customWidth="1"/>
    <col min="2" max="2" width="21.50390625" style="592" customWidth="1"/>
    <col min="3" max="3" width="5.75390625" style="592" customWidth="1"/>
    <col min="4" max="4" width="6.625" style="592" customWidth="1"/>
    <col min="5" max="5" width="6.25390625" style="592" customWidth="1"/>
    <col min="6" max="9" width="5.75390625" style="592" customWidth="1"/>
    <col min="10" max="10" width="6.875" style="592" customWidth="1"/>
    <col min="11" max="11" width="7.50390625" style="592" customWidth="1"/>
    <col min="12" max="12" width="5.75390625" style="592" customWidth="1"/>
    <col min="13" max="13" width="8.375" style="592" customWidth="1"/>
    <col min="14" max="14" width="8.125" style="592" customWidth="1"/>
    <col min="15" max="15" width="8.00390625" style="592" customWidth="1"/>
    <col min="16" max="16" width="6.25390625" style="592" customWidth="1"/>
    <col min="17" max="21" width="5.75390625" style="592" customWidth="1"/>
    <col min="22" max="16384" width="9.00390625" style="592" customWidth="1"/>
  </cols>
  <sheetData>
    <row r="1" spans="1:21" ht="19.5" customHeight="1">
      <c r="A1" s="702" t="s">
        <v>675</v>
      </c>
      <c r="B1" s="493"/>
      <c r="C1" s="493"/>
      <c r="D1" s="490"/>
      <c r="E1" s="589"/>
      <c r="F1" s="1712" t="s">
        <v>612</v>
      </c>
      <c r="G1" s="1712"/>
      <c r="H1" s="1712"/>
      <c r="I1" s="1712"/>
      <c r="J1" s="1712"/>
      <c r="K1" s="1712"/>
      <c r="L1" s="1712"/>
      <c r="M1" s="1712"/>
      <c r="N1" s="1712"/>
      <c r="O1" s="590"/>
      <c r="P1" s="1713" t="s">
        <v>666</v>
      </c>
      <c r="Q1" s="1714"/>
      <c r="R1" s="1714"/>
      <c r="S1" s="1714"/>
      <c r="T1" s="1714"/>
      <c r="U1" s="1714"/>
    </row>
    <row r="2" spans="1:21" ht="15.75" customHeight="1">
      <c r="A2" s="1601" t="s">
        <v>342</v>
      </c>
      <c r="B2" s="1601"/>
      <c r="C2" s="1601"/>
      <c r="D2" s="1601"/>
      <c r="E2" s="701"/>
      <c r="F2" s="1712"/>
      <c r="G2" s="1712"/>
      <c r="H2" s="1712"/>
      <c r="I2" s="1712"/>
      <c r="J2" s="1712"/>
      <c r="K2" s="1712"/>
      <c r="L2" s="1712"/>
      <c r="M2" s="1712"/>
      <c r="N2" s="1712"/>
      <c r="O2" s="590"/>
      <c r="P2" s="1715" t="str">
        <f>'Thong tin'!B4</f>
        <v>Cục THADS tỉnh Bình Thuận</v>
      </c>
      <c r="Q2" s="1715"/>
      <c r="R2" s="1715"/>
      <c r="S2" s="1715"/>
      <c r="T2" s="1715"/>
      <c r="U2" s="1715"/>
    </row>
    <row r="3" spans="1:20" ht="15.75" customHeight="1">
      <c r="A3" s="1607" t="s">
        <v>343</v>
      </c>
      <c r="B3" s="1607"/>
      <c r="C3" s="1607"/>
      <c r="D3" s="1607"/>
      <c r="E3" s="701"/>
      <c r="F3" s="1716" t="str">
        <f>'Thong tin'!B3</f>
        <v>10 tháng / năm 2016</v>
      </c>
      <c r="G3" s="1717"/>
      <c r="H3" s="1717"/>
      <c r="I3" s="1717"/>
      <c r="J3" s="1717"/>
      <c r="K3" s="1717"/>
      <c r="L3" s="1717"/>
      <c r="M3" s="1717"/>
      <c r="N3" s="1717"/>
      <c r="O3" s="595"/>
      <c r="P3" s="684" t="s">
        <v>665</v>
      </c>
      <c r="Q3" s="596"/>
      <c r="R3" s="596"/>
      <c r="S3" s="596"/>
      <c r="T3" s="596"/>
    </row>
    <row r="4" spans="1:20" ht="15" customHeight="1">
      <c r="A4" s="492" t="s">
        <v>217</v>
      </c>
      <c r="B4" s="456"/>
      <c r="C4" s="456"/>
      <c r="D4" s="456"/>
      <c r="E4" s="704"/>
      <c r="F4" s="704"/>
      <c r="G4" s="704"/>
      <c r="H4" s="704"/>
      <c r="I4" s="704"/>
      <c r="J4" s="704"/>
      <c r="K4" s="704"/>
      <c r="L4" s="704"/>
      <c r="M4" s="704"/>
      <c r="N4" s="704"/>
      <c r="O4" s="704"/>
      <c r="P4" s="597" t="s">
        <v>613</v>
      </c>
      <c r="Q4" s="593"/>
      <c r="R4" s="593"/>
      <c r="S4" s="593"/>
      <c r="T4" s="593"/>
    </row>
    <row r="5" spans="1:21" s="599" customFormat="1" ht="15.75" customHeight="1">
      <c r="A5" s="1718" t="s">
        <v>72</v>
      </c>
      <c r="B5" s="1719"/>
      <c r="C5" s="1722" t="s">
        <v>586</v>
      </c>
      <c r="D5" s="1722"/>
      <c r="E5" s="1722"/>
      <c r="F5" s="1722" t="s">
        <v>614</v>
      </c>
      <c r="G5" s="1722"/>
      <c r="H5" s="1722"/>
      <c r="I5" s="1722"/>
      <c r="J5" s="1722"/>
      <c r="K5" s="1722"/>
      <c r="L5" s="1722"/>
      <c r="M5" s="1722"/>
      <c r="N5" s="1722"/>
      <c r="O5" s="1722"/>
      <c r="P5" s="1722" t="s">
        <v>615</v>
      </c>
      <c r="Q5" s="1722"/>
      <c r="R5" s="1722"/>
      <c r="S5" s="1722"/>
      <c r="T5" s="1722"/>
      <c r="U5" s="1722"/>
    </row>
    <row r="6" spans="1:21" s="599" customFormat="1" ht="14.25" customHeight="1">
      <c r="A6" s="1720"/>
      <c r="B6" s="1721"/>
      <c r="C6" s="1722"/>
      <c r="D6" s="1722"/>
      <c r="E6" s="1722"/>
      <c r="F6" s="1722" t="s">
        <v>616</v>
      </c>
      <c r="G6" s="1722"/>
      <c r="H6" s="1722"/>
      <c r="I6" s="1722" t="s">
        <v>590</v>
      </c>
      <c r="J6" s="1722"/>
      <c r="K6" s="1722"/>
      <c r="L6" s="1722"/>
      <c r="M6" s="1722"/>
      <c r="N6" s="1722"/>
      <c r="O6" s="1722"/>
      <c r="P6" s="1722" t="s">
        <v>227</v>
      </c>
      <c r="Q6" s="1723" t="s">
        <v>7</v>
      </c>
      <c r="R6" s="1723"/>
      <c r="S6" s="1723"/>
      <c r="T6" s="1723"/>
      <c r="U6" s="1723"/>
    </row>
    <row r="7" spans="1:21" s="599" customFormat="1" ht="32.25" customHeight="1">
      <c r="A7" s="1720"/>
      <c r="B7" s="1721"/>
      <c r="C7" s="1722"/>
      <c r="D7" s="1722"/>
      <c r="E7" s="1722"/>
      <c r="F7" s="1722"/>
      <c r="G7" s="1722"/>
      <c r="H7" s="1722"/>
      <c r="I7" s="1722" t="s">
        <v>591</v>
      </c>
      <c r="J7" s="1722"/>
      <c r="K7" s="1722"/>
      <c r="L7" s="1722" t="s">
        <v>617</v>
      </c>
      <c r="M7" s="1722"/>
      <c r="N7" s="1722"/>
      <c r="O7" s="1722"/>
      <c r="P7" s="1722"/>
      <c r="Q7" s="1722" t="s">
        <v>593</v>
      </c>
      <c r="R7" s="1722" t="s">
        <v>618</v>
      </c>
      <c r="S7" s="1722" t="s">
        <v>619</v>
      </c>
      <c r="T7" s="1722" t="s">
        <v>620</v>
      </c>
      <c r="U7" s="1722" t="s">
        <v>621</v>
      </c>
    </row>
    <row r="8" spans="1:21" s="599" customFormat="1" ht="15" customHeight="1">
      <c r="A8" s="1720"/>
      <c r="B8" s="1721"/>
      <c r="C8" s="1722" t="s">
        <v>622</v>
      </c>
      <c r="D8" s="1722" t="s">
        <v>7</v>
      </c>
      <c r="E8" s="1722"/>
      <c r="F8" s="1722" t="s">
        <v>623</v>
      </c>
      <c r="G8" s="1722" t="s">
        <v>7</v>
      </c>
      <c r="H8" s="1722"/>
      <c r="I8" s="1722" t="s">
        <v>624</v>
      </c>
      <c r="J8" s="1722" t="s">
        <v>7</v>
      </c>
      <c r="K8" s="1722"/>
      <c r="L8" s="1722" t="s">
        <v>623</v>
      </c>
      <c r="M8" s="1722" t="s">
        <v>7</v>
      </c>
      <c r="N8" s="1722"/>
      <c r="O8" s="1722"/>
      <c r="P8" s="1722"/>
      <c r="Q8" s="1722"/>
      <c r="R8" s="1724"/>
      <c r="S8" s="1725"/>
      <c r="T8" s="1722"/>
      <c r="U8" s="1722"/>
    </row>
    <row r="9" spans="1:21" s="599" customFormat="1" ht="79.5" customHeight="1">
      <c r="A9" s="1720"/>
      <c r="B9" s="1721"/>
      <c r="C9" s="1722"/>
      <c r="D9" s="598" t="s">
        <v>625</v>
      </c>
      <c r="E9" s="598" t="s">
        <v>626</v>
      </c>
      <c r="F9" s="1724"/>
      <c r="G9" s="598" t="s">
        <v>627</v>
      </c>
      <c r="H9" s="598" t="s">
        <v>628</v>
      </c>
      <c r="I9" s="1724"/>
      <c r="J9" s="598" t="s">
        <v>629</v>
      </c>
      <c r="K9" s="598" t="s">
        <v>630</v>
      </c>
      <c r="L9" s="1722"/>
      <c r="M9" s="598" t="s">
        <v>631</v>
      </c>
      <c r="N9" s="598" t="s">
        <v>632</v>
      </c>
      <c r="O9" s="598" t="s">
        <v>633</v>
      </c>
      <c r="P9" s="1722"/>
      <c r="Q9" s="1722"/>
      <c r="R9" s="1724"/>
      <c r="S9" s="1725"/>
      <c r="T9" s="1722"/>
      <c r="U9" s="1722"/>
    </row>
    <row r="10" spans="1:21" ht="12.75">
      <c r="A10" s="600"/>
      <c r="B10" s="601" t="s">
        <v>608</v>
      </c>
      <c r="C10" s="602">
        <v>1</v>
      </c>
      <c r="D10" s="602">
        <v>2</v>
      </c>
      <c r="E10" s="602">
        <v>3</v>
      </c>
      <c r="F10" s="603">
        <v>4</v>
      </c>
      <c r="G10" s="604">
        <v>5</v>
      </c>
      <c r="H10" s="603">
        <v>6</v>
      </c>
      <c r="I10" s="604">
        <v>7</v>
      </c>
      <c r="J10" s="603">
        <v>8</v>
      </c>
      <c r="K10" s="604">
        <v>9</v>
      </c>
      <c r="L10" s="603">
        <v>10</v>
      </c>
      <c r="M10" s="604">
        <v>11</v>
      </c>
      <c r="N10" s="603">
        <v>12</v>
      </c>
      <c r="O10" s="604">
        <v>13</v>
      </c>
      <c r="P10" s="603">
        <v>14</v>
      </c>
      <c r="Q10" s="604">
        <v>15</v>
      </c>
      <c r="R10" s="603">
        <v>16</v>
      </c>
      <c r="S10" s="604">
        <v>17</v>
      </c>
      <c r="T10" s="603">
        <v>18</v>
      </c>
      <c r="U10" s="604">
        <v>19</v>
      </c>
    </row>
    <row r="11" spans="1:21" s="599" customFormat="1" ht="18" customHeight="1">
      <c r="A11" s="1726" t="s">
        <v>38</v>
      </c>
      <c r="B11" s="1727"/>
      <c r="C11" s="808">
        <f>C12+C13</f>
        <v>4</v>
      </c>
      <c r="D11" s="808">
        <f aca="true" t="shared" si="0" ref="D11:U11">D12+D13</f>
        <v>1</v>
      </c>
      <c r="E11" s="808">
        <f t="shared" si="0"/>
        <v>3</v>
      </c>
      <c r="F11" s="808">
        <f t="shared" si="0"/>
        <v>4</v>
      </c>
      <c r="G11" s="808">
        <f t="shared" si="0"/>
        <v>1</v>
      </c>
      <c r="H11" s="808">
        <f t="shared" si="0"/>
        <v>3</v>
      </c>
      <c r="I11" s="808">
        <f t="shared" si="0"/>
        <v>4</v>
      </c>
      <c r="J11" s="808">
        <f t="shared" si="0"/>
        <v>3</v>
      </c>
      <c r="K11" s="808">
        <f t="shared" si="0"/>
        <v>1</v>
      </c>
      <c r="L11" s="808">
        <f t="shared" si="0"/>
        <v>0</v>
      </c>
      <c r="M11" s="808">
        <f t="shared" si="0"/>
        <v>0</v>
      </c>
      <c r="N11" s="808">
        <f t="shared" si="0"/>
        <v>0</v>
      </c>
      <c r="O11" s="808">
        <f t="shared" si="0"/>
        <v>0</v>
      </c>
      <c r="P11" s="808">
        <f t="shared" si="0"/>
        <v>4</v>
      </c>
      <c r="Q11" s="808">
        <f t="shared" si="0"/>
        <v>3</v>
      </c>
      <c r="R11" s="808">
        <f t="shared" si="0"/>
        <v>1</v>
      </c>
      <c r="S11" s="808">
        <f t="shared" si="0"/>
        <v>0</v>
      </c>
      <c r="T11" s="808">
        <f t="shared" si="0"/>
        <v>0</v>
      </c>
      <c r="U11" s="808">
        <f t="shared" si="0"/>
        <v>0</v>
      </c>
    </row>
    <row r="12" spans="1:21" s="599" customFormat="1" ht="19.5" customHeight="1">
      <c r="A12" s="781" t="s">
        <v>0</v>
      </c>
      <c r="B12" s="207" t="s">
        <v>228</v>
      </c>
      <c r="C12" s="792">
        <f>D12+E12</f>
        <v>4</v>
      </c>
      <c r="D12" s="1112">
        <v>1</v>
      </c>
      <c r="E12" s="1112">
        <v>3</v>
      </c>
      <c r="F12" s="792">
        <f>G12+H12</f>
        <v>4</v>
      </c>
      <c r="G12" s="1113">
        <v>1</v>
      </c>
      <c r="H12" s="1113">
        <v>3</v>
      </c>
      <c r="I12" s="1114">
        <f>J12+K12+L12</f>
        <v>4</v>
      </c>
      <c r="J12" s="1115">
        <v>3</v>
      </c>
      <c r="K12" s="1115">
        <v>1</v>
      </c>
      <c r="L12" s="792">
        <f>M12+N12+O12</f>
        <v>0</v>
      </c>
      <c r="M12" s="1115">
        <v>0</v>
      </c>
      <c r="N12" s="1115">
        <v>0</v>
      </c>
      <c r="O12" s="1115">
        <v>0</v>
      </c>
      <c r="P12" s="792">
        <f>Q12+R12+S12+T12+U12</f>
        <v>4</v>
      </c>
      <c r="Q12" s="1115">
        <v>3</v>
      </c>
      <c r="R12" s="1115">
        <v>1</v>
      </c>
      <c r="S12" s="1115">
        <v>0</v>
      </c>
      <c r="T12" s="1115">
        <v>0</v>
      </c>
      <c r="U12" s="1115">
        <v>0</v>
      </c>
    </row>
    <row r="13" spans="1:21" s="599" customFormat="1" ht="21" customHeight="1">
      <c r="A13" s="784" t="s">
        <v>1</v>
      </c>
      <c r="B13" s="791" t="s">
        <v>19</v>
      </c>
      <c r="C13" s="792">
        <f>C14+C15+C16+C17+C18+C19+C20+C21+C22+C23</f>
        <v>0</v>
      </c>
      <c r="D13" s="792">
        <f aca="true" t="shared" si="1" ref="D13:U13">D14+D15+D16+D17+D18+D19+D20+D21+D22+D23</f>
        <v>0</v>
      </c>
      <c r="E13" s="792">
        <f t="shared" si="1"/>
        <v>0</v>
      </c>
      <c r="F13" s="792">
        <f t="shared" si="1"/>
        <v>0</v>
      </c>
      <c r="G13" s="792">
        <f t="shared" si="1"/>
        <v>0</v>
      </c>
      <c r="H13" s="792">
        <f t="shared" si="1"/>
        <v>0</v>
      </c>
      <c r="I13" s="792">
        <f t="shared" si="1"/>
        <v>0</v>
      </c>
      <c r="J13" s="792">
        <f t="shared" si="1"/>
        <v>0</v>
      </c>
      <c r="K13" s="792">
        <f t="shared" si="1"/>
        <v>0</v>
      </c>
      <c r="L13" s="792">
        <f t="shared" si="1"/>
        <v>0</v>
      </c>
      <c r="M13" s="792">
        <f t="shared" si="1"/>
        <v>0</v>
      </c>
      <c r="N13" s="792">
        <f t="shared" si="1"/>
        <v>0</v>
      </c>
      <c r="O13" s="792">
        <f t="shared" si="1"/>
        <v>0</v>
      </c>
      <c r="P13" s="792">
        <f t="shared" si="1"/>
        <v>0</v>
      </c>
      <c r="Q13" s="792">
        <f t="shared" si="1"/>
        <v>0</v>
      </c>
      <c r="R13" s="792">
        <f t="shared" si="1"/>
        <v>0</v>
      </c>
      <c r="S13" s="792">
        <f t="shared" si="1"/>
        <v>0</v>
      </c>
      <c r="T13" s="792">
        <f t="shared" si="1"/>
        <v>0</v>
      </c>
      <c r="U13" s="792">
        <f t="shared" si="1"/>
        <v>0</v>
      </c>
    </row>
    <row r="14" spans="1:21" s="599" customFormat="1" ht="18" customHeight="1">
      <c r="A14" s="806" t="s">
        <v>52</v>
      </c>
      <c r="B14" s="793" t="s">
        <v>748</v>
      </c>
      <c r="C14" s="1105">
        <f>D14+E14</f>
        <v>0</v>
      </c>
      <c r="D14" s="1112">
        <v>0</v>
      </c>
      <c r="E14" s="1112">
        <v>0</v>
      </c>
      <c r="F14" s="1105">
        <f>G14+H14</f>
        <v>0</v>
      </c>
      <c r="G14" s="1113">
        <v>0</v>
      </c>
      <c r="H14" s="1113">
        <v>0</v>
      </c>
      <c r="I14" s="1116">
        <f>J14+K14</f>
        <v>0</v>
      </c>
      <c r="J14" s="1115">
        <v>0</v>
      </c>
      <c r="K14" s="1115">
        <v>0</v>
      </c>
      <c r="L14" s="1105">
        <f>M14+N14+O14</f>
        <v>0</v>
      </c>
      <c r="M14" s="1115">
        <v>0</v>
      </c>
      <c r="N14" s="1115">
        <v>0</v>
      </c>
      <c r="O14" s="1115">
        <v>0</v>
      </c>
      <c r="P14" s="1105">
        <f>Q14+R14++S14+T14+U14</f>
        <v>0</v>
      </c>
      <c r="Q14" s="1115">
        <v>0</v>
      </c>
      <c r="R14" s="1115">
        <v>0</v>
      </c>
      <c r="S14" s="1115">
        <v>0</v>
      </c>
      <c r="T14" s="1115">
        <v>0</v>
      </c>
      <c r="U14" s="1117">
        <v>0</v>
      </c>
    </row>
    <row r="15" spans="1:21" s="599" customFormat="1" ht="18.75" customHeight="1">
      <c r="A15" s="806" t="s">
        <v>53</v>
      </c>
      <c r="B15" s="793" t="s">
        <v>749</v>
      </c>
      <c r="C15" s="1105">
        <f aca="true" t="shared" si="2" ref="C15:C23">D15+E15</f>
        <v>0</v>
      </c>
      <c r="D15" s="1112">
        <v>0</v>
      </c>
      <c r="E15" s="1112">
        <v>0</v>
      </c>
      <c r="F15" s="1105">
        <f aca="true" t="shared" si="3" ref="F15:F23">G15+H15</f>
        <v>0</v>
      </c>
      <c r="G15" s="1113">
        <v>0</v>
      </c>
      <c r="H15" s="1113">
        <v>0</v>
      </c>
      <c r="I15" s="1116">
        <f aca="true" t="shared" si="4" ref="I15:I23">J15+K15</f>
        <v>0</v>
      </c>
      <c r="J15" s="1115">
        <v>0</v>
      </c>
      <c r="K15" s="1115">
        <v>0</v>
      </c>
      <c r="L15" s="1105">
        <f aca="true" t="shared" si="5" ref="L15:L23">M15+N15+O15</f>
        <v>0</v>
      </c>
      <c r="M15" s="1115">
        <v>0</v>
      </c>
      <c r="N15" s="1115">
        <v>0</v>
      </c>
      <c r="O15" s="1115">
        <v>0</v>
      </c>
      <c r="P15" s="1105">
        <f aca="true" t="shared" si="6" ref="P15:P23">Q15+R15++S15+T15+U15</f>
        <v>0</v>
      </c>
      <c r="Q15" s="1115">
        <v>0</v>
      </c>
      <c r="R15" s="1115">
        <v>0</v>
      </c>
      <c r="S15" s="1115">
        <v>0</v>
      </c>
      <c r="T15" s="1115">
        <v>0</v>
      </c>
      <c r="U15" s="1117">
        <v>0</v>
      </c>
    </row>
    <row r="16" spans="1:21" s="599" customFormat="1" ht="18.75" customHeight="1">
      <c r="A16" s="806" t="s">
        <v>58</v>
      </c>
      <c r="B16" s="793" t="s">
        <v>750</v>
      </c>
      <c r="C16" s="1105">
        <f t="shared" si="2"/>
        <v>0</v>
      </c>
      <c r="D16" s="1112">
        <v>0</v>
      </c>
      <c r="E16" s="1112">
        <v>0</v>
      </c>
      <c r="F16" s="1105">
        <f t="shared" si="3"/>
        <v>0</v>
      </c>
      <c r="G16" s="1113">
        <v>0</v>
      </c>
      <c r="H16" s="1113">
        <v>0</v>
      </c>
      <c r="I16" s="1116">
        <f t="shared" si="4"/>
        <v>0</v>
      </c>
      <c r="J16" s="1115">
        <v>0</v>
      </c>
      <c r="K16" s="1115">
        <v>0</v>
      </c>
      <c r="L16" s="1105">
        <f t="shared" si="5"/>
        <v>0</v>
      </c>
      <c r="M16" s="1115">
        <v>0</v>
      </c>
      <c r="N16" s="1115">
        <v>0</v>
      </c>
      <c r="O16" s="1115">
        <v>0</v>
      </c>
      <c r="P16" s="1105">
        <f t="shared" si="6"/>
        <v>0</v>
      </c>
      <c r="Q16" s="1115">
        <v>0</v>
      </c>
      <c r="R16" s="1115">
        <v>0</v>
      </c>
      <c r="S16" s="1115">
        <v>0</v>
      </c>
      <c r="T16" s="1115">
        <v>0</v>
      </c>
      <c r="U16" s="1117">
        <v>0</v>
      </c>
    </row>
    <row r="17" spans="1:21" s="599" customFormat="1" ht="18" customHeight="1">
      <c r="A17" s="806" t="s">
        <v>73</v>
      </c>
      <c r="B17" s="793" t="s">
        <v>751</v>
      </c>
      <c r="C17" s="1105">
        <f t="shared" si="2"/>
        <v>0</v>
      </c>
      <c r="D17" s="1118">
        <v>0</v>
      </c>
      <c r="E17" s="1118">
        <v>0</v>
      </c>
      <c r="F17" s="1105">
        <f t="shared" si="3"/>
        <v>0</v>
      </c>
      <c r="G17" s="1113">
        <v>0</v>
      </c>
      <c r="H17" s="1113">
        <v>0</v>
      </c>
      <c r="I17" s="1116">
        <f t="shared" si="4"/>
        <v>0</v>
      </c>
      <c r="J17" s="1115">
        <v>0</v>
      </c>
      <c r="K17" s="1115">
        <v>0</v>
      </c>
      <c r="L17" s="1105">
        <f t="shared" si="5"/>
        <v>0</v>
      </c>
      <c r="M17" s="1115">
        <v>0</v>
      </c>
      <c r="N17" s="1115">
        <v>0</v>
      </c>
      <c r="O17" s="1115">
        <v>0</v>
      </c>
      <c r="P17" s="1105">
        <f t="shared" si="6"/>
        <v>0</v>
      </c>
      <c r="Q17" s="1115">
        <v>0</v>
      </c>
      <c r="R17" s="1115">
        <v>0</v>
      </c>
      <c r="S17" s="1115">
        <v>0</v>
      </c>
      <c r="T17" s="1115">
        <v>0</v>
      </c>
      <c r="U17" s="1117">
        <v>0</v>
      </c>
    </row>
    <row r="18" spans="1:21" s="599" customFormat="1" ht="18" customHeight="1">
      <c r="A18" s="806" t="s">
        <v>74</v>
      </c>
      <c r="B18" s="793" t="s">
        <v>752</v>
      </c>
      <c r="C18" s="1105">
        <f t="shared" si="2"/>
        <v>0</v>
      </c>
      <c r="D18" s="1118">
        <v>0</v>
      </c>
      <c r="E18" s="1118">
        <v>0</v>
      </c>
      <c r="F18" s="1105">
        <f t="shared" si="3"/>
        <v>0</v>
      </c>
      <c r="G18" s="1113">
        <v>0</v>
      </c>
      <c r="H18" s="1113">
        <v>0</v>
      </c>
      <c r="I18" s="1116">
        <f t="shared" si="4"/>
        <v>0</v>
      </c>
      <c r="J18" s="1115">
        <v>0</v>
      </c>
      <c r="K18" s="1115">
        <v>0</v>
      </c>
      <c r="L18" s="1105">
        <f t="shared" si="5"/>
        <v>0</v>
      </c>
      <c r="M18" s="1115">
        <v>0</v>
      </c>
      <c r="N18" s="1115">
        <v>0</v>
      </c>
      <c r="O18" s="1115">
        <v>0</v>
      </c>
      <c r="P18" s="1105">
        <f t="shared" si="6"/>
        <v>0</v>
      </c>
      <c r="Q18" s="1115">
        <v>0</v>
      </c>
      <c r="R18" s="1115">
        <v>0</v>
      </c>
      <c r="S18" s="1115">
        <v>0</v>
      </c>
      <c r="T18" s="1115">
        <v>0</v>
      </c>
      <c r="U18" s="1117">
        <v>0</v>
      </c>
    </row>
    <row r="19" spans="1:21" s="599" customFormat="1" ht="18" customHeight="1">
      <c r="A19" s="806" t="s">
        <v>75</v>
      </c>
      <c r="B19" s="793" t="s">
        <v>753</v>
      </c>
      <c r="C19" s="1105">
        <f t="shared" si="2"/>
        <v>0</v>
      </c>
      <c r="D19" s="1118">
        <v>0</v>
      </c>
      <c r="E19" s="1118">
        <v>0</v>
      </c>
      <c r="F19" s="1105">
        <f t="shared" si="3"/>
        <v>0</v>
      </c>
      <c r="G19" s="1113">
        <v>0</v>
      </c>
      <c r="H19" s="1113">
        <v>0</v>
      </c>
      <c r="I19" s="1116">
        <f t="shared" si="4"/>
        <v>0</v>
      </c>
      <c r="J19" s="1115">
        <v>0</v>
      </c>
      <c r="K19" s="1115">
        <v>0</v>
      </c>
      <c r="L19" s="1105">
        <f t="shared" si="5"/>
        <v>0</v>
      </c>
      <c r="M19" s="1115">
        <v>0</v>
      </c>
      <c r="N19" s="1115">
        <v>0</v>
      </c>
      <c r="O19" s="1115">
        <v>0</v>
      </c>
      <c r="P19" s="1105">
        <f t="shared" si="6"/>
        <v>0</v>
      </c>
      <c r="Q19" s="1115">
        <v>0</v>
      </c>
      <c r="R19" s="1115">
        <v>0</v>
      </c>
      <c r="S19" s="1115">
        <v>0</v>
      </c>
      <c r="T19" s="1115">
        <v>0</v>
      </c>
      <c r="U19" s="1117">
        <v>0</v>
      </c>
    </row>
    <row r="20" spans="1:21" s="599" customFormat="1" ht="18" customHeight="1">
      <c r="A20" s="806" t="s">
        <v>76</v>
      </c>
      <c r="B20" s="793" t="s">
        <v>754</v>
      </c>
      <c r="C20" s="1105">
        <f t="shared" si="2"/>
        <v>0</v>
      </c>
      <c r="D20" s="1118">
        <v>0</v>
      </c>
      <c r="E20" s="1118">
        <v>0</v>
      </c>
      <c r="F20" s="1105">
        <f t="shared" si="3"/>
        <v>0</v>
      </c>
      <c r="G20" s="1113">
        <v>0</v>
      </c>
      <c r="H20" s="1113">
        <v>0</v>
      </c>
      <c r="I20" s="1116">
        <f t="shared" si="4"/>
        <v>0</v>
      </c>
      <c r="J20" s="1115">
        <v>0</v>
      </c>
      <c r="K20" s="1115">
        <v>0</v>
      </c>
      <c r="L20" s="1105">
        <f t="shared" si="5"/>
        <v>0</v>
      </c>
      <c r="M20" s="1115">
        <v>0</v>
      </c>
      <c r="N20" s="1115">
        <v>0</v>
      </c>
      <c r="O20" s="1115">
        <v>0</v>
      </c>
      <c r="P20" s="1105">
        <f t="shared" si="6"/>
        <v>0</v>
      </c>
      <c r="Q20" s="1115">
        <v>0</v>
      </c>
      <c r="R20" s="1115">
        <v>0</v>
      </c>
      <c r="S20" s="1115">
        <v>0</v>
      </c>
      <c r="T20" s="1115">
        <v>0</v>
      </c>
      <c r="U20" s="1117">
        <v>0</v>
      </c>
    </row>
    <row r="21" spans="1:21" s="599" customFormat="1" ht="18.75" customHeight="1">
      <c r="A21" s="806" t="s">
        <v>77</v>
      </c>
      <c r="B21" s="793" t="s">
        <v>755</v>
      </c>
      <c r="C21" s="1105">
        <f t="shared" si="2"/>
        <v>0</v>
      </c>
      <c r="D21" s="1118">
        <v>0</v>
      </c>
      <c r="E21" s="1118">
        <v>0</v>
      </c>
      <c r="F21" s="1105">
        <f t="shared" si="3"/>
        <v>0</v>
      </c>
      <c r="G21" s="1113">
        <v>0</v>
      </c>
      <c r="H21" s="1113">
        <v>0</v>
      </c>
      <c r="I21" s="1116">
        <f t="shared" si="4"/>
        <v>0</v>
      </c>
      <c r="J21" s="1115">
        <v>0</v>
      </c>
      <c r="K21" s="1115">
        <v>0</v>
      </c>
      <c r="L21" s="1105">
        <f t="shared" si="5"/>
        <v>0</v>
      </c>
      <c r="M21" s="1115">
        <v>0</v>
      </c>
      <c r="N21" s="1115">
        <v>0</v>
      </c>
      <c r="O21" s="1115">
        <v>0</v>
      </c>
      <c r="P21" s="1105">
        <f t="shared" si="6"/>
        <v>0</v>
      </c>
      <c r="Q21" s="1115">
        <v>0</v>
      </c>
      <c r="R21" s="1115">
        <v>0</v>
      </c>
      <c r="S21" s="1115">
        <v>0</v>
      </c>
      <c r="T21" s="1115">
        <v>0</v>
      </c>
      <c r="U21" s="1117">
        <v>0</v>
      </c>
    </row>
    <row r="22" spans="1:21" s="599" customFormat="1" ht="17.25" customHeight="1">
      <c r="A22" s="806" t="s">
        <v>78</v>
      </c>
      <c r="B22" s="793" t="s">
        <v>756</v>
      </c>
      <c r="C22" s="1105">
        <f t="shared" si="2"/>
        <v>0</v>
      </c>
      <c r="D22" s="1118">
        <v>0</v>
      </c>
      <c r="E22" s="1118">
        <v>0</v>
      </c>
      <c r="F22" s="1105">
        <f t="shared" si="3"/>
        <v>0</v>
      </c>
      <c r="G22" s="1113">
        <v>0</v>
      </c>
      <c r="H22" s="1113">
        <v>0</v>
      </c>
      <c r="I22" s="1116">
        <f t="shared" si="4"/>
        <v>0</v>
      </c>
      <c r="J22" s="1115">
        <v>0</v>
      </c>
      <c r="K22" s="1115">
        <v>0</v>
      </c>
      <c r="L22" s="1105">
        <f t="shared" si="5"/>
        <v>0</v>
      </c>
      <c r="M22" s="1115">
        <v>0</v>
      </c>
      <c r="N22" s="1115">
        <v>0</v>
      </c>
      <c r="O22" s="1115">
        <v>0</v>
      </c>
      <c r="P22" s="1105">
        <f t="shared" si="6"/>
        <v>0</v>
      </c>
      <c r="Q22" s="1115">
        <v>0</v>
      </c>
      <c r="R22" s="1115">
        <v>0</v>
      </c>
      <c r="S22" s="1115">
        <v>0</v>
      </c>
      <c r="T22" s="1115">
        <v>0</v>
      </c>
      <c r="U22" s="1117">
        <v>0</v>
      </c>
    </row>
    <row r="23" spans="1:21" s="599" customFormat="1" ht="20.25" customHeight="1" thickBot="1">
      <c r="A23" s="807" t="s">
        <v>101</v>
      </c>
      <c r="B23" s="1069" t="s">
        <v>757</v>
      </c>
      <c r="C23" s="1109">
        <f t="shared" si="2"/>
        <v>0</v>
      </c>
      <c r="D23" s="1119">
        <v>0</v>
      </c>
      <c r="E23" s="1119">
        <v>0</v>
      </c>
      <c r="F23" s="1109">
        <f t="shared" si="3"/>
        <v>0</v>
      </c>
      <c r="G23" s="1120">
        <v>0</v>
      </c>
      <c r="H23" s="1120">
        <v>0</v>
      </c>
      <c r="I23" s="1121">
        <f t="shared" si="4"/>
        <v>0</v>
      </c>
      <c r="J23" s="1122">
        <v>0</v>
      </c>
      <c r="K23" s="1122">
        <v>0</v>
      </c>
      <c r="L23" s="1109">
        <f t="shared" si="5"/>
        <v>0</v>
      </c>
      <c r="M23" s="1122">
        <v>0</v>
      </c>
      <c r="N23" s="1122">
        <v>0</v>
      </c>
      <c r="O23" s="1122">
        <v>0</v>
      </c>
      <c r="P23" s="1109">
        <f t="shared" si="6"/>
        <v>0</v>
      </c>
      <c r="Q23" s="1122">
        <v>0</v>
      </c>
      <c r="R23" s="1122">
        <v>0</v>
      </c>
      <c r="S23" s="1122">
        <v>0</v>
      </c>
      <c r="T23" s="1122">
        <v>0</v>
      </c>
      <c r="U23" s="1123">
        <v>0</v>
      </c>
    </row>
    <row r="24" spans="1:21" ht="26.25" customHeight="1" thickTop="1">
      <c r="A24" s="606"/>
      <c r="B24" s="1728"/>
      <c r="C24" s="1728"/>
      <c r="D24" s="1728"/>
      <c r="E24" s="1728"/>
      <c r="F24" s="1728"/>
      <c r="G24" s="1728"/>
      <c r="H24" s="1124"/>
      <c r="I24" s="1124"/>
      <c r="J24" s="1124"/>
      <c r="K24" s="1124"/>
      <c r="L24" s="1124"/>
      <c r="M24" s="1125"/>
      <c r="N24" s="1704" t="str">
        <f>'Thong tin'!B9</f>
        <v>Bình Thuận, ngày 04 tháng 8 năm 2016</v>
      </c>
      <c r="O24" s="1704"/>
      <c r="P24" s="1704"/>
      <c r="Q24" s="1704"/>
      <c r="R24" s="1704"/>
      <c r="S24" s="1704"/>
      <c r="T24" s="1704"/>
      <c r="U24" s="1704"/>
    </row>
    <row r="25" spans="1:21" ht="18.75" customHeight="1">
      <c r="A25" s="606"/>
      <c r="B25" s="1729" t="s">
        <v>634</v>
      </c>
      <c r="C25" s="1729"/>
      <c r="D25" s="1729"/>
      <c r="E25" s="1729"/>
      <c r="F25" s="1729"/>
      <c r="G25" s="1126"/>
      <c r="H25" s="1096"/>
      <c r="I25" s="1096"/>
      <c r="J25" s="1096"/>
      <c r="K25" s="1096"/>
      <c r="L25" s="1096"/>
      <c r="M25" s="1127"/>
      <c r="N25" s="1705" t="str">
        <f>'Thong tin'!B7</f>
        <v>KT. CỤC TRƯỞNG</v>
      </c>
      <c r="O25" s="1706"/>
      <c r="P25" s="1706"/>
      <c r="Q25" s="1706"/>
      <c r="R25" s="1706"/>
      <c r="S25" s="1706"/>
      <c r="T25" s="1706"/>
      <c r="U25" s="1706"/>
    </row>
    <row r="26" spans="1:21" ht="18.75" customHeight="1">
      <c r="A26" s="611"/>
      <c r="B26" s="1732"/>
      <c r="C26" s="1732"/>
      <c r="D26" s="1732"/>
      <c r="E26" s="1732"/>
      <c r="F26" s="1732"/>
      <c r="G26" s="1129"/>
      <c r="H26" s="1129"/>
      <c r="I26" s="1129"/>
      <c r="J26" s="1129"/>
      <c r="K26" s="1129"/>
      <c r="L26" s="1129"/>
      <c r="M26" s="1129"/>
      <c r="N26" s="1733" t="str">
        <f>'Thong tin'!B8</f>
        <v>PHÓ CỤC TRƯỞNG</v>
      </c>
      <c r="O26" s="1733"/>
      <c r="P26" s="1733"/>
      <c r="Q26" s="1733"/>
      <c r="R26" s="1733"/>
      <c r="S26" s="1733"/>
      <c r="T26" s="1733"/>
      <c r="U26" s="1733"/>
    </row>
    <row r="27" spans="2:21" ht="31.5" customHeight="1">
      <c r="B27" s="1734"/>
      <c r="C27" s="1734"/>
      <c r="D27" s="1734"/>
      <c r="E27" s="1734"/>
      <c r="F27" s="1734"/>
      <c r="G27" s="1127"/>
      <c r="H27" s="1127"/>
      <c r="I27" s="1127"/>
      <c r="J27" s="1127"/>
      <c r="K27" s="1127"/>
      <c r="L27" s="1127"/>
      <c r="M27" s="1127"/>
      <c r="N27" s="1127"/>
      <c r="O27" s="1127"/>
      <c r="P27" s="1734"/>
      <c r="Q27" s="1734"/>
      <c r="R27" s="1734"/>
      <c r="S27" s="1734"/>
      <c r="T27" s="1127"/>
      <c r="U27" s="1127"/>
    </row>
    <row r="28" spans="2:21" ht="16.5">
      <c r="B28" s="1127"/>
      <c r="C28" s="1127"/>
      <c r="D28" s="1127"/>
      <c r="E28" s="1127"/>
      <c r="F28" s="1127"/>
      <c r="G28" s="1127"/>
      <c r="H28" s="1127"/>
      <c r="I28" s="1127"/>
      <c r="J28" s="1127"/>
      <c r="K28" s="1127"/>
      <c r="L28" s="1127"/>
      <c r="M28" s="1127"/>
      <c r="N28" s="1127"/>
      <c r="O28" s="1127"/>
      <c r="P28" s="1127"/>
      <c r="Q28" s="1127"/>
      <c r="R28" s="1127"/>
      <c r="S28" s="1127"/>
      <c r="T28" s="1127"/>
      <c r="U28" s="1127"/>
    </row>
    <row r="29" spans="2:21" ht="16.5">
      <c r="B29" s="1127"/>
      <c r="C29" s="1127"/>
      <c r="D29" s="1127"/>
      <c r="E29" s="1127"/>
      <c r="F29" s="1127"/>
      <c r="G29" s="1127"/>
      <c r="H29" s="1127"/>
      <c r="I29" s="1127"/>
      <c r="J29" s="1127"/>
      <c r="K29" s="1127"/>
      <c r="L29" s="1127"/>
      <c r="M29" s="1127"/>
      <c r="N29" s="1127"/>
      <c r="O29" s="1127"/>
      <c r="P29" s="1127"/>
      <c r="Q29" s="1127"/>
      <c r="R29" s="1127"/>
      <c r="S29" s="1127"/>
      <c r="T29" s="1127"/>
      <c r="U29" s="1127"/>
    </row>
    <row r="30" spans="2:21" ht="16.5">
      <c r="B30" s="1683" t="str">
        <f>'Thong tin'!B5</f>
        <v>Trần Quốc Bảo</v>
      </c>
      <c r="C30" s="1683"/>
      <c r="D30" s="1683"/>
      <c r="E30" s="1683"/>
      <c r="F30" s="1683"/>
      <c r="G30" s="1683"/>
      <c r="H30" s="1131"/>
      <c r="I30" s="1132"/>
      <c r="J30" s="1132"/>
      <c r="K30" s="1132"/>
      <c r="L30" s="1132"/>
      <c r="M30" s="1132"/>
      <c r="N30" s="1636" t="str">
        <f>'Thong tin'!B6</f>
        <v>Trần Nam</v>
      </c>
      <c r="O30" s="1636"/>
      <c r="P30" s="1636"/>
      <c r="Q30" s="1636"/>
      <c r="R30" s="1636"/>
      <c r="S30" s="1636"/>
      <c r="T30" s="1636"/>
      <c r="U30" s="1636"/>
    </row>
    <row r="31" ht="12.75" hidden="1"/>
    <row r="32" spans="1:20" ht="13.5" hidden="1">
      <c r="A32" s="613" t="s">
        <v>226</v>
      </c>
      <c r="O32" s="1730"/>
      <c r="P32" s="1730"/>
      <c r="Q32" s="1730"/>
      <c r="R32" s="1730"/>
      <c r="S32" s="1730"/>
      <c r="T32" s="1730"/>
    </row>
    <row r="33" spans="2:14" ht="12.75" customHeight="1" hidden="1">
      <c r="B33" s="1731" t="s">
        <v>635</v>
      </c>
      <c r="C33" s="1731"/>
      <c r="D33" s="1731"/>
      <c r="E33" s="1731"/>
      <c r="F33" s="1731"/>
      <c r="G33" s="1731"/>
      <c r="H33" s="1731"/>
      <c r="I33" s="1731"/>
      <c r="J33" s="1731"/>
      <c r="K33" s="1731"/>
      <c r="L33" s="614"/>
      <c r="M33" s="614"/>
      <c r="N33" s="614"/>
    </row>
    <row r="34" spans="1:14" ht="12.75" customHeight="1" hidden="1">
      <c r="A34" s="614"/>
      <c r="B34" s="615" t="s">
        <v>636</v>
      </c>
      <c r="C34" s="614"/>
      <c r="D34" s="614"/>
      <c r="E34" s="614"/>
      <c r="F34" s="614"/>
      <c r="G34" s="614"/>
      <c r="H34" s="614"/>
      <c r="I34" s="614"/>
      <c r="J34" s="614"/>
      <c r="K34" s="614"/>
      <c r="L34" s="614"/>
      <c r="M34" s="614"/>
      <c r="N34" s="614"/>
    </row>
    <row r="35" spans="2:14" ht="12.75" customHeight="1" hidden="1">
      <c r="B35" s="616" t="s">
        <v>637</v>
      </c>
      <c r="C35" s="579"/>
      <c r="D35" s="579"/>
      <c r="E35" s="579"/>
      <c r="F35" s="579"/>
      <c r="G35" s="579"/>
      <c r="H35" s="579"/>
      <c r="I35" s="579"/>
      <c r="J35" s="579"/>
      <c r="K35" s="579"/>
      <c r="L35" s="579"/>
      <c r="M35" s="579"/>
      <c r="N35" s="579"/>
    </row>
  </sheetData>
  <sheetProtection/>
  <mergeCells count="42">
    <mergeCell ref="O32:T32"/>
    <mergeCell ref="B33:K33"/>
    <mergeCell ref="B26:F26"/>
    <mergeCell ref="N26:U26"/>
    <mergeCell ref="B27:F27"/>
    <mergeCell ref="P27:S27"/>
    <mergeCell ref="B30:G30"/>
    <mergeCell ref="N30:U30"/>
    <mergeCell ref="A11:B11"/>
    <mergeCell ref="B24:G24"/>
    <mergeCell ref="N24:U24"/>
    <mergeCell ref="B25:F25"/>
    <mergeCell ref="N25:U25"/>
    <mergeCell ref="I8:I9"/>
    <mergeCell ref="J8:K8"/>
    <mergeCell ref="C8:C9"/>
    <mergeCell ref="D8:E8"/>
    <mergeCell ref="F8:F9"/>
    <mergeCell ref="G8:H8"/>
    <mergeCell ref="S7:S9"/>
    <mergeCell ref="T7:T9"/>
    <mergeCell ref="U7:U9"/>
    <mergeCell ref="L8:L9"/>
    <mergeCell ref="M8:O8"/>
    <mergeCell ref="F5:O5"/>
    <mergeCell ref="P5:U5"/>
    <mergeCell ref="F6:H7"/>
    <mergeCell ref="I6:O6"/>
    <mergeCell ref="P6:P9"/>
    <mergeCell ref="Q6:U6"/>
    <mergeCell ref="I7:K7"/>
    <mergeCell ref="L7:O7"/>
    <mergeCell ref="Q7:Q9"/>
    <mergeCell ref="R7:R9"/>
    <mergeCell ref="A2:D2"/>
    <mergeCell ref="A3:D3"/>
    <mergeCell ref="A5:B9"/>
    <mergeCell ref="C5:E7"/>
    <mergeCell ref="F1:N2"/>
    <mergeCell ref="P1:U1"/>
    <mergeCell ref="P2:U2"/>
    <mergeCell ref="F3:N3"/>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37"/>
  <sheetViews>
    <sheetView showZeros="0" view="pageBreakPreview" zoomScaleSheetLayoutView="100" zoomScalePageLayoutView="0" workbookViewId="0" topLeftCell="A1">
      <selection activeCell="M28" sqref="M28"/>
    </sheetView>
  </sheetViews>
  <sheetFormatPr defaultColWidth="9.00390625" defaultRowHeight="15.75"/>
  <cols>
    <col min="1" max="1" width="3.00390625" style="579" customWidth="1"/>
    <col min="2" max="2" width="22.25390625" style="579" customWidth="1"/>
    <col min="3" max="3" width="7.00390625" style="579" customWidth="1"/>
    <col min="4" max="4" width="7.125" style="579" customWidth="1"/>
    <col min="5" max="5" width="5.625" style="579" customWidth="1"/>
    <col min="6" max="6" width="6.00390625" style="579" customWidth="1"/>
    <col min="7" max="7" width="5.875" style="579" customWidth="1"/>
    <col min="8" max="8" width="5.00390625" style="579" customWidth="1"/>
    <col min="9" max="9" width="5.375" style="579" customWidth="1"/>
    <col min="10" max="10" width="5.00390625" style="579" customWidth="1"/>
    <col min="11" max="11" width="5.75390625" style="579" customWidth="1"/>
    <col min="12" max="14" width="5.375" style="579" customWidth="1"/>
    <col min="15" max="15" width="5.50390625" style="579" customWidth="1"/>
    <col min="16" max="16" width="6.50390625" style="579" customWidth="1"/>
    <col min="17" max="17" width="5.375" style="579" customWidth="1"/>
    <col min="18" max="18" width="5.625" style="579" customWidth="1"/>
    <col min="19" max="19" width="5.375" style="579" customWidth="1"/>
    <col min="20" max="20" width="5.875" style="579" customWidth="1"/>
    <col min="21" max="21" width="0" style="579" hidden="1" customWidth="1"/>
    <col min="22" max="16384" width="9.00390625" style="579" customWidth="1"/>
  </cols>
  <sheetData>
    <row r="1" spans="1:21" ht="16.5" customHeight="1">
      <c r="A1" s="1656" t="s">
        <v>229</v>
      </c>
      <c r="B1" s="1656"/>
      <c r="C1" s="536"/>
      <c r="D1" s="1692" t="s">
        <v>419</v>
      </c>
      <c r="E1" s="1745"/>
      <c r="F1" s="1745"/>
      <c r="G1" s="1745"/>
      <c r="H1" s="1745"/>
      <c r="I1" s="1745"/>
      <c r="J1" s="1745"/>
      <c r="K1" s="1745"/>
      <c r="L1" s="1745"/>
      <c r="M1" s="1745"/>
      <c r="N1" s="1745"/>
      <c r="O1" s="617"/>
      <c r="P1" s="680" t="s">
        <v>656</v>
      </c>
      <c r="Q1" s="558"/>
      <c r="R1" s="558"/>
      <c r="S1" s="558"/>
      <c r="T1" s="558"/>
      <c r="U1" s="617"/>
    </row>
    <row r="2" spans="1:21" ht="16.5" customHeight="1">
      <c r="A2" s="1649" t="s">
        <v>342</v>
      </c>
      <c r="B2" s="1650"/>
      <c r="C2" s="1650"/>
      <c r="D2" s="1745"/>
      <c r="E2" s="1745"/>
      <c r="F2" s="1745"/>
      <c r="G2" s="1745"/>
      <c r="H2" s="1745"/>
      <c r="I2" s="1745"/>
      <c r="J2" s="1745"/>
      <c r="K2" s="1745"/>
      <c r="L2" s="1745"/>
      <c r="M2" s="1745"/>
      <c r="N2" s="1745"/>
      <c r="O2" s="617"/>
      <c r="P2" s="1746" t="str">
        <f>'Thong tin'!B4</f>
        <v>Cục THADS tỉnh Bình Thuận</v>
      </c>
      <c r="Q2" s="1746"/>
      <c r="R2" s="1746"/>
      <c r="S2" s="1746"/>
      <c r="T2" s="1746"/>
      <c r="U2" s="617"/>
    </row>
    <row r="3" spans="1:21" ht="16.5" customHeight="1">
      <c r="A3" s="675" t="s">
        <v>673</v>
      </c>
      <c r="B3" s="518"/>
      <c r="C3" s="518"/>
      <c r="D3" s="1693" t="str">
        <f>'Thong tin'!B3</f>
        <v>10 tháng / năm 2016</v>
      </c>
      <c r="E3" s="1693"/>
      <c r="F3" s="1693"/>
      <c r="G3" s="1693"/>
      <c r="H3" s="1693"/>
      <c r="I3" s="1693"/>
      <c r="J3" s="1693"/>
      <c r="K3" s="1693"/>
      <c r="L3" s="1693"/>
      <c r="M3" s="1693"/>
      <c r="N3" s="1693"/>
      <c r="O3" s="617"/>
      <c r="P3" s="678" t="s">
        <v>468</v>
      </c>
      <c r="Q3" s="685"/>
      <c r="R3" s="685"/>
      <c r="S3" s="685"/>
      <c r="T3" s="685"/>
      <c r="U3" s="617"/>
    </row>
    <row r="4" spans="1:21" ht="16.5" customHeight="1">
      <c r="A4" s="1654" t="s">
        <v>400</v>
      </c>
      <c r="B4" s="1654"/>
      <c r="C4" s="1654"/>
      <c r="D4" s="1738"/>
      <c r="E4" s="1738"/>
      <c r="F4" s="1738"/>
      <c r="G4" s="1738"/>
      <c r="H4" s="1738"/>
      <c r="I4" s="1738"/>
      <c r="J4" s="1738"/>
      <c r="K4" s="1738"/>
      <c r="L4" s="1738"/>
      <c r="M4" s="1738"/>
      <c r="N4" s="1738"/>
      <c r="O4" s="617"/>
      <c r="P4" s="679" t="s">
        <v>401</v>
      </c>
      <c r="Q4" s="685"/>
      <c r="R4" s="685"/>
      <c r="S4" s="685"/>
      <c r="T4" s="685"/>
      <c r="U4" s="617"/>
    </row>
    <row r="5" spans="12:21" ht="16.5" customHeight="1">
      <c r="L5" s="618"/>
      <c r="M5" s="618"/>
      <c r="N5" s="618"/>
      <c r="O5" s="565"/>
      <c r="P5" s="564" t="s">
        <v>424</v>
      </c>
      <c r="Q5" s="565"/>
      <c r="R5" s="565"/>
      <c r="S5" s="565"/>
      <c r="T5" s="565"/>
      <c r="U5" s="558"/>
    </row>
    <row r="6" spans="1:21" ht="15.75" customHeight="1">
      <c r="A6" s="1718" t="s">
        <v>72</v>
      </c>
      <c r="B6" s="1719"/>
      <c r="C6" s="1747" t="s">
        <v>230</v>
      </c>
      <c r="D6" s="1735" t="s">
        <v>231</v>
      </c>
      <c r="E6" s="1736"/>
      <c r="F6" s="1736"/>
      <c r="G6" s="1736"/>
      <c r="H6" s="1736"/>
      <c r="I6" s="1736"/>
      <c r="J6" s="1736"/>
      <c r="K6" s="1736"/>
      <c r="L6" s="1736"/>
      <c r="M6" s="1736"/>
      <c r="N6" s="1736"/>
      <c r="O6" s="1736"/>
      <c r="P6" s="1736"/>
      <c r="Q6" s="1736"/>
      <c r="R6" s="1736"/>
      <c r="S6" s="1736"/>
      <c r="T6" s="1747" t="s">
        <v>232</v>
      </c>
      <c r="U6" s="620"/>
    </row>
    <row r="7" spans="1:20" s="621" customFormat="1" ht="12.75" customHeight="1">
      <c r="A7" s="1720"/>
      <c r="B7" s="1721"/>
      <c r="C7" s="1747"/>
      <c r="D7" s="1754" t="s">
        <v>227</v>
      </c>
      <c r="E7" s="1736" t="s">
        <v>7</v>
      </c>
      <c r="F7" s="1736"/>
      <c r="G7" s="1736"/>
      <c r="H7" s="1736"/>
      <c r="I7" s="1736"/>
      <c r="J7" s="1736"/>
      <c r="K7" s="1736"/>
      <c r="L7" s="1736"/>
      <c r="M7" s="1736"/>
      <c r="N7" s="1736"/>
      <c r="O7" s="1736"/>
      <c r="P7" s="1736"/>
      <c r="Q7" s="1736"/>
      <c r="R7" s="1736"/>
      <c r="S7" s="1736"/>
      <c r="T7" s="1747"/>
    </row>
    <row r="8" spans="1:21" s="621" customFormat="1" ht="43.5" customHeight="1">
      <c r="A8" s="1720"/>
      <c r="B8" s="1721"/>
      <c r="C8" s="1747"/>
      <c r="D8" s="1755"/>
      <c r="E8" s="1757" t="s">
        <v>233</v>
      </c>
      <c r="F8" s="1747"/>
      <c r="G8" s="1747"/>
      <c r="H8" s="1747" t="s">
        <v>234</v>
      </c>
      <c r="I8" s="1747"/>
      <c r="J8" s="1747"/>
      <c r="K8" s="1747" t="s">
        <v>235</v>
      </c>
      <c r="L8" s="1747"/>
      <c r="M8" s="1747" t="s">
        <v>236</v>
      </c>
      <c r="N8" s="1747"/>
      <c r="O8" s="1747"/>
      <c r="P8" s="1747" t="s">
        <v>237</v>
      </c>
      <c r="Q8" s="1747" t="s">
        <v>238</v>
      </c>
      <c r="R8" s="1747" t="s">
        <v>239</v>
      </c>
      <c r="S8" s="1737" t="s">
        <v>240</v>
      </c>
      <c r="T8" s="1747"/>
      <c r="U8" s="1739" t="s">
        <v>425</v>
      </c>
    </row>
    <row r="9" spans="1:21" s="621" customFormat="1" ht="44.25" customHeight="1">
      <c r="A9" s="1748"/>
      <c r="B9" s="1749"/>
      <c r="C9" s="1747"/>
      <c r="D9" s="1756"/>
      <c r="E9" s="622" t="s">
        <v>241</v>
      </c>
      <c r="F9" s="619" t="s">
        <v>242</v>
      </c>
      <c r="G9" s="619" t="s">
        <v>426</v>
      </c>
      <c r="H9" s="619" t="s">
        <v>243</v>
      </c>
      <c r="I9" s="619" t="s">
        <v>244</v>
      </c>
      <c r="J9" s="619" t="s">
        <v>245</v>
      </c>
      <c r="K9" s="619" t="s">
        <v>242</v>
      </c>
      <c r="L9" s="619" t="s">
        <v>246</v>
      </c>
      <c r="M9" s="619" t="s">
        <v>247</v>
      </c>
      <c r="N9" s="619" t="s">
        <v>248</v>
      </c>
      <c r="O9" s="619" t="s">
        <v>427</v>
      </c>
      <c r="P9" s="1747"/>
      <c r="Q9" s="1747"/>
      <c r="R9" s="1747"/>
      <c r="S9" s="1737"/>
      <c r="T9" s="1747"/>
      <c r="U9" s="1740"/>
    </row>
    <row r="10" spans="1:21" s="624" customFormat="1" ht="15.75" customHeight="1">
      <c r="A10" s="1741" t="s">
        <v>6</v>
      </c>
      <c r="B10" s="1742"/>
      <c r="C10" s="623">
        <v>1</v>
      </c>
      <c r="D10" s="623">
        <v>2</v>
      </c>
      <c r="E10" s="623">
        <v>3</v>
      </c>
      <c r="F10" s="623">
        <v>4</v>
      </c>
      <c r="G10" s="623">
        <v>5</v>
      </c>
      <c r="H10" s="623">
        <v>6</v>
      </c>
      <c r="I10" s="623">
        <v>7</v>
      </c>
      <c r="J10" s="623">
        <v>8</v>
      </c>
      <c r="K10" s="623">
        <v>9</v>
      </c>
      <c r="L10" s="623">
        <v>10</v>
      </c>
      <c r="M10" s="623">
        <v>11</v>
      </c>
      <c r="N10" s="623">
        <v>12</v>
      </c>
      <c r="O10" s="623">
        <v>13</v>
      </c>
      <c r="P10" s="623">
        <v>14</v>
      </c>
      <c r="Q10" s="623">
        <v>15</v>
      </c>
      <c r="R10" s="623">
        <v>16</v>
      </c>
      <c r="S10" s="623">
        <v>17</v>
      </c>
      <c r="T10" s="623">
        <v>18</v>
      </c>
      <c r="U10" s="1740"/>
    </row>
    <row r="11" spans="1:21" s="624" customFormat="1" ht="18" customHeight="1">
      <c r="A11" s="1743" t="s">
        <v>37</v>
      </c>
      <c r="B11" s="1744"/>
      <c r="C11" s="792">
        <f>C12+C13</f>
        <v>135</v>
      </c>
      <c r="D11" s="792">
        <f aca="true" t="shared" si="0" ref="D11:T11">D12+D13</f>
        <v>131</v>
      </c>
      <c r="E11" s="792">
        <f t="shared" si="0"/>
        <v>0</v>
      </c>
      <c r="F11" s="792">
        <f t="shared" si="0"/>
        <v>15</v>
      </c>
      <c r="G11" s="792">
        <f t="shared" si="0"/>
        <v>44</v>
      </c>
      <c r="H11" s="792">
        <f t="shared" si="0"/>
        <v>0</v>
      </c>
      <c r="I11" s="792">
        <f t="shared" si="0"/>
        <v>0</v>
      </c>
      <c r="J11" s="792">
        <f t="shared" si="0"/>
        <v>4</v>
      </c>
      <c r="K11" s="792">
        <f t="shared" si="0"/>
        <v>2</v>
      </c>
      <c r="L11" s="792">
        <f t="shared" si="0"/>
        <v>23</v>
      </c>
      <c r="M11" s="792">
        <f t="shared" si="0"/>
        <v>0</v>
      </c>
      <c r="N11" s="792">
        <f t="shared" si="0"/>
        <v>1</v>
      </c>
      <c r="O11" s="792">
        <f t="shared" si="0"/>
        <v>8</v>
      </c>
      <c r="P11" s="792">
        <f t="shared" si="0"/>
        <v>5</v>
      </c>
      <c r="Q11" s="792">
        <f t="shared" si="0"/>
        <v>20</v>
      </c>
      <c r="R11" s="792">
        <f t="shared" si="0"/>
        <v>1</v>
      </c>
      <c r="S11" s="792">
        <f t="shared" si="0"/>
        <v>8</v>
      </c>
      <c r="T11" s="792">
        <f t="shared" si="0"/>
        <v>4</v>
      </c>
      <c r="U11" s="625">
        <f>D11-'[10]Báo cáo chất lượng CB Mẫu 14'!C14</f>
        <v>9</v>
      </c>
    </row>
    <row r="12" spans="1:21" s="624" customFormat="1" ht="18.75" customHeight="1">
      <c r="A12" s="236" t="s">
        <v>0</v>
      </c>
      <c r="B12" s="188" t="s">
        <v>758</v>
      </c>
      <c r="C12" s="792">
        <f>D12+T12</f>
        <v>26</v>
      </c>
      <c r="D12" s="792">
        <f>E12+F12+G12+H12+I12+J12+K12+L12+M12+N12+O12+P12+Q12+R12+S12</f>
        <v>24</v>
      </c>
      <c r="E12" s="790">
        <v>0</v>
      </c>
      <c r="F12" s="790">
        <v>9</v>
      </c>
      <c r="G12" s="790">
        <v>4</v>
      </c>
      <c r="H12" s="790">
        <v>0</v>
      </c>
      <c r="I12" s="790">
        <v>0</v>
      </c>
      <c r="J12" s="790">
        <v>0</v>
      </c>
      <c r="K12" s="790">
        <v>0</v>
      </c>
      <c r="L12" s="790">
        <v>3</v>
      </c>
      <c r="M12" s="790">
        <v>0</v>
      </c>
      <c r="N12" s="790">
        <v>1</v>
      </c>
      <c r="O12" s="790">
        <v>1</v>
      </c>
      <c r="P12" s="790">
        <v>3</v>
      </c>
      <c r="Q12" s="790">
        <v>2</v>
      </c>
      <c r="R12" s="790">
        <v>1</v>
      </c>
      <c r="S12" s="790">
        <v>0</v>
      </c>
      <c r="T12" s="790">
        <v>2</v>
      </c>
      <c r="U12" s="625">
        <f>D12-'[10]Báo cáo chất lượng CB Mẫu 14'!C15</f>
        <v>-1</v>
      </c>
    </row>
    <row r="13" spans="1:21" s="624" customFormat="1" ht="18.75" customHeight="1">
      <c r="A13" s="1133" t="s">
        <v>1</v>
      </c>
      <c r="B13" s="1134" t="s">
        <v>19</v>
      </c>
      <c r="C13" s="1135">
        <f>C14+C15+C16+C17+C18+C19+C20+C21+C22+C23</f>
        <v>109</v>
      </c>
      <c r="D13" s="1135">
        <f aca="true" t="shared" si="1" ref="D13:T13">D14+D15+D16+D17+D18+D19+D20+D21+D22+D23</f>
        <v>107</v>
      </c>
      <c r="E13" s="1135">
        <f t="shared" si="1"/>
        <v>0</v>
      </c>
      <c r="F13" s="1135">
        <f t="shared" si="1"/>
        <v>6</v>
      </c>
      <c r="G13" s="1135">
        <f t="shared" si="1"/>
        <v>40</v>
      </c>
      <c r="H13" s="1135">
        <f t="shared" si="1"/>
        <v>0</v>
      </c>
      <c r="I13" s="1135">
        <f t="shared" si="1"/>
        <v>0</v>
      </c>
      <c r="J13" s="1135">
        <f t="shared" si="1"/>
        <v>4</v>
      </c>
      <c r="K13" s="1135">
        <f t="shared" si="1"/>
        <v>2</v>
      </c>
      <c r="L13" s="1135">
        <f t="shared" si="1"/>
        <v>20</v>
      </c>
      <c r="M13" s="1135">
        <f t="shared" si="1"/>
        <v>0</v>
      </c>
      <c r="N13" s="1135">
        <f t="shared" si="1"/>
        <v>0</v>
      </c>
      <c r="O13" s="1135">
        <f t="shared" si="1"/>
        <v>7</v>
      </c>
      <c r="P13" s="1135">
        <f t="shared" si="1"/>
        <v>2</v>
      </c>
      <c r="Q13" s="1135">
        <f t="shared" si="1"/>
        <v>18</v>
      </c>
      <c r="R13" s="1135">
        <f t="shared" si="1"/>
        <v>0</v>
      </c>
      <c r="S13" s="1135">
        <f t="shared" si="1"/>
        <v>8</v>
      </c>
      <c r="T13" s="1135">
        <f t="shared" si="1"/>
        <v>2</v>
      </c>
      <c r="U13" s="625">
        <f>D13-'[10]Báo cáo chất lượng CB Mẫu 14'!C16</f>
        <v>10</v>
      </c>
    </row>
    <row r="14" spans="1:21" s="624" customFormat="1" ht="17.25" customHeight="1">
      <c r="A14" s="802" t="s">
        <v>52</v>
      </c>
      <c r="B14" s="793" t="s">
        <v>748</v>
      </c>
      <c r="C14" s="792">
        <f aca="true" t="shared" si="2" ref="C14:C23">D14+T14</f>
        <v>17</v>
      </c>
      <c r="D14" s="792">
        <f aca="true" t="shared" si="3" ref="D14:D23">E14+F14+G14+H14+I14+J14+K14+L14+M14+N14+O14+P14+Q14+R14+S14</f>
        <v>17</v>
      </c>
      <c r="E14" s="1115">
        <v>0</v>
      </c>
      <c r="F14" s="1115">
        <v>1</v>
      </c>
      <c r="G14" s="1115">
        <v>9</v>
      </c>
      <c r="H14" s="790">
        <v>0</v>
      </c>
      <c r="I14" s="790">
        <v>0</v>
      </c>
      <c r="J14" s="1115">
        <v>2</v>
      </c>
      <c r="K14" s="790">
        <v>0</v>
      </c>
      <c r="L14" s="790">
        <v>3</v>
      </c>
      <c r="M14" s="790">
        <v>0</v>
      </c>
      <c r="N14" s="790">
        <v>0</v>
      </c>
      <c r="O14" s="790">
        <v>0</v>
      </c>
      <c r="P14" s="790">
        <v>0</v>
      </c>
      <c r="Q14" s="790">
        <v>2</v>
      </c>
      <c r="R14" s="790">
        <v>0</v>
      </c>
      <c r="S14" s="790">
        <v>0</v>
      </c>
      <c r="T14" s="790">
        <v>0</v>
      </c>
      <c r="U14" s="625">
        <f>D14-'[10]Báo cáo chất lượng CB Mẫu 14'!C17</f>
        <v>9</v>
      </c>
    </row>
    <row r="15" spans="1:21" s="624" customFormat="1" ht="18" customHeight="1">
      <c r="A15" s="802" t="s">
        <v>53</v>
      </c>
      <c r="B15" s="793" t="s">
        <v>749</v>
      </c>
      <c r="C15" s="792">
        <f t="shared" si="2"/>
        <v>12</v>
      </c>
      <c r="D15" s="792">
        <f t="shared" si="3"/>
        <v>12</v>
      </c>
      <c r="E15" s="1115">
        <v>0</v>
      </c>
      <c r="F15" s="1115">
        <v>1</v>
      </c>
      <c r="G15" s="1115">
        <v>4</v>
      </c>
      <c r="H15" s="790">
        <v>0</v>
      </c>
      <c r="I15" s="790">
        <v>0</v>
      </c>
      <c r="J15" s="790">
        <v>0</v>
      </c>
      <c r="K15" s="790">
        <v>0</v>
      </c>
      <c r="L15" s="790">
        <v>3</v>
      </c>
      <c r="M15" s="790">
        <v>0</v>
      </c>
      <c r="N15" s="790">
        <v>0</v>
      </c>
      <c r="O15" s="790">
        <v>0</v>
      </c>
      <c r="P15" s="790">
        <v>1</v>
      </c>
      <c r="Q15" s="790">
        <v>2</v>
      </c>
      <c r="R15" s="790">
        <v>0</v>
      </c>
      <c r="S15" s="790">
        <v>1</v>
      </c>
      <c r="T15" s="790">
        <v>0</v>
      </c>
      <c r="U15" s="625">
        <f>D15-'[10]Báo cáo chất lượng CB Mẫu 14'!C18</f>
        <v>5</v>
      </c>
    </row>
    <row r="16" spans="1:21" s="624" customFormat="1" ht="18" customHeight="1">
      <c r="A16" s="802" t="s">
        <v>58</v>
      </c>
      <c r="B16" s="793" t="s">
        <v>750</v>
      </c>
      <c r="C16" s="792">
        <f t="shared" si="2"/>
        <v>13</v>
      </c>
      <c r="D16" s="792">
        <f t="shared" si="3"/>
        <v>13</v>
      </c>
      <c r="E16" s="1115">
        <v>0</v>
      </c>
      <c r="F16" s="1115">
        <v>0</v>
      </c>
      <c r="G16" s="1115">
        <v>5</v>
      </c>
      <c r="H16" s="790">
        <v>0</v>
      </c>
      <c r="I16" s="790">
        <v>0</v>
      </c>
      <c r="J16" s="790">
        <v>0</v>
      </c>
      <c r="K16" s="790">
        <v>0</v>
      </c>
      <c r="L16" s="790">
        <v>1</v>
      </c>
      <c r="M16" s="790">
        <v>0</v>
      </c>
      <c r="N16" s="790">
        <v>0</v>
      </c>
      <c r="O16" s="790">
        <v>4</v>
      </c>
      <c r="P16" s="790">
        <v>0</v>
      </c>
      <c r="Q16" s="790">
        <v>2</v>
      </c>
      <c r="R16" s="790">
        <v>0</v>
      </c>
      <c r="S16" s="790">
        <v>1</v>
      </c>
      <c r="T16" s="790">
        <v>0</v>
      </c>
      <c r="U16" s="625">
        <f>D16-'[10]Báo cáo chất lượng CB Mẫu 14'!C19</f>
        <v>-1</v>
      </c>
    </row>
    <row r="17" spans="1:21" s="624" customFormat="1" ht="18" customHeight="1">
      <c r="A17" s="802" t="s">
        <v>73</v>
      </c>
      <c r="B17" s="793" t="s">
        <v>751</v>
      </c>
      <c r="C17" s="792">
        <f t="shared" si="2"/>
        <v>11</v>
      </c>
      <c r="D17" s="792">
        <f t="shared" si="3"/>
        <v>11</v>
      </c>
      <c r="E17" s="1115">
        <v>0</v>
      </c>
      <c r="F17" s="1115">
        <v>1</v>
      </c>
      <c r="G17" s="1115">
        <v>5</v>
      </c>
      <c r="H17" s="790">
        <v>0</v>
      </c>
      <c r="I17" s="790">
        <v>0</v>
      </c>
      <c r="J17" s="790">
        <v>0</v>
      </c>
      <c r="K17" s="790">
        <v>0</v>
      </c>
      <c r="L17" s="790">
        <v>1</v>
      </c>
      <c r="M17" s="790">
        <v>0</v>
      </c>
      <c r="N17" s="790">
        <v>0</v>
      </c>
      <c r="O17" s="790">
        <v>1</v>
      </c>
      <c r="P17" s="790">
        <v>0</v>
      </c>
      <c r="Q17" s="790">
        <v>2</v>
      </c>
      <c r="R17" s="790">
        <v>0</v>
      </c>
      <c r="S17" s="790">
        <v>1</v>
      </c>
      <c r="T17" s="790">
        <v>0</v>
      </c>
      <c r="U17" s="625"/>
    </row>
    <row r="18" spans="1:21" s="624" customFormat="1" ht="18" customHeight="1">
      <c r="A18" s="802" t="s">
        <v>74</v>
      </c>
      <c r="B18" s="793" t="s">
        <v>752</v>
      </c>
      <c r="C18" s="792">
        <f t="shared" si="2"/>
        <v>12</v>
      </c>
      <c r="D18" s="792">
        <f t="shared" si="3"/>
        <v>11</v>
      </c>
      <c r="E18" s="1115">
        <v>0</v>
      </c>
      <c r="F18" s="1115">
        <v>0</v>
      </c>
      <c r="G18" s="1115">
        <v>4</v>
      </c>
      <c r="H18" s="790">
        <v>0</v>
      </c>
      <c r="I18" s="790">
        <v>0</v>
      </c>
      <c r="J18" s="790">
        <v>1</v>
      </c>
      <c r="K18" s="790">
        <v>0</v>
      </c>
      <c r="L18" s="790">
        <v>1</v>
      </c>
      <c r="M18" s="790">
        <v>0</v>
      </c>
      <c r="N18" s="790">
        <v>0</v>
      </c>
      <c r="O18" s="790">
        <v>1</v>
      </c>
      <c r="P18" s="790">
        <v>1</v>
      </c>
      <c r="Q18" s="790">
        <v>2</v>
      </c>
      <c r="R18" s="790">
        <v>0</v>
      </c>
      <c r="S18" s="790">
        <v>1</v>
      </c>
      <c r="T18" s="790">
        <v>1</v>
      </c>
      <c r="U18" s="625"/>
    </row>
    <row r="19" spans="1:21" s="624" customFormat="1" ht="18.75" customHeight="1">
      <c r="A19" s="802" t="s">
        <v>75</v>
      </c>
      <c r="B19" s="793" t="s">
        <v>753</v>
      </c>
      <c r="C19" s="792">
        <f t="shared" si="2"/>
        <v>9</v>
      </c>
      <c r="D19" s="792">
        <f t="shared" si="3"/>
        <v>8</v>
      </c>
      <c r="E19" s="1115">
        <v>0</v>
      </c>
      <c r="F19" s="1115">
        <v>0</v>
      </c>
      <c r="G19" s="1115">
        <v>2</v>
      </c>
      <c r="H19" s="790">
        <v>0</v>
      </c>
      <c r="I19" s="790">
        <v>0</v>
      </c>
      <c r="J19" s="790">
        <v>1</v>
      </c>
      <c r="K19" s="1115">
        <v>1</v>
      </c>
      <c r="L19" s="790">
        <v>2</v>
      </c>
      <c r="M19" s="790">
        <v>0</v>
      </c>
      <c r="N19" s="790">
        <v>0</v>
      </c>
      <c r="O19" s="790">
        <v>0</v>
      </c>
      <c r="P19" s="790">
        <v>0</v>
      </c>
      <c r="Q19" s="790">
        <v>2</v>
      </c>
      <c r="R19" s="790">
        <v>0</v>
      </c>
      <c r="S19" s="790">
        <v>0</v>
      </c>
      <c r="T19" s="790">
        <v>1</v>
      </c>
      <c r="U19" s="625"/>
    </row>
    <row r="20" spans="1:21" s="624" customFormat="1" ht="18" customHeight="1">
      <c r="A20" s="802" t="s">
        <v>76</v>
      </c>
      <c r="B20" s="793" t="s">
        <v>754</v>
      </c>
      <c r="C20" s="792">
        <f t="shared" si="2"/>
        <v>12</v>
      </c>
      <c r="D20" s="792">
        <f t="shared" si="3"/>
        <v>12</v>
      </c>
      <c r="E20" s="1115">
        <v>0</v>
      </c>
      <c r="F20" s="1115">
        <v>2</v>
      </c>
      <c r="G20" s="1115">
        <v>3</v>
      </c>
      <c r="H20" s="790">
        <v>0</v>
      </c>
      <c r="I20" s="790">
        <v>0</v>
      </c>
      <c r="J20" s="790">
        <v>0</v>
      </c>
      <c r="K20" s="790">
        <v>0</v>
      </c>
      <c r="L20" s="790">
        <v>5</v>
      </c>
      <c r="M20" s="790">
        <v>0</v>
      </c>
      <c r="N20" s="790">
        <v>0</v>
      </c>
      <c r="O20" s="790">
        <v>0</v>
      </c>
      <c r="P20" s="790">
        <v>0</v>
      </c>
      <c r="Q20" s="790">
        <v>2</v>
      </c>
      <c r="R20" s="790">
        <v>0</v>
      </c>
      <c r="S20" s="790">
        <v>0</v>
      </c>
      <c r="T20" s="790">
        <v>0</v>
      </c>
      <c r="U20" s="625">
        <f>D20-'[10]Báo cáo chất lượng CB Mẫu 14'!C20</f>
        <v>5</v>
      </c>
    </row>
    <row r="21" spans="1:21" s="624" customFormat="1" ht="19.5" customHeight="1">
      <c r="A21" s="802" t="s">
        <v>77</v>
      </c>
      <c r="B21" s="793" t="s">
        <v>755</v>
      </c>
      <c r="C21" s="792">
        <f t="shared" si="2"/>
        <v>9</v>
      </c>
      <c r="D21" s="792">
        <f t="shared" si="3"/>
        <v>9</v>
      </c>
      <c r="E21" s="1115">
        <v>0</v>
      </c>
      <c r="F21" s="1115">
        <v>0</v>
      </c>
      <c r="G21" s="1115">
        <v>4</v>
      </c>
      <c r="H21" s="790">
        <v>0</v>
      </c>
      <c r="I21" s="790">
        <v>0</v>
      </c>
      <c r="J21" s="790">
        <v>0</v>
      </c>
      <c r="K21" s="790">
        <v>0</v>
      </c>
      <c r="L21" s="790">
        <v>1</v>
      </c>
      <c r="M21" s="790">
        <v>0</v>
      </c>
      <c r="N21" s="790">
        <v>0</v>
      </c>
      <c r="O21" s="790">
        <v>1</v>
      </c>
      <c r="P21" s="790">
        <v>0</v>
      </c>
      <c r="Q21" s="790">
        <v>2</v>
      </c>
      <c r="R21" s="790">
        <v>0</v>
      </c>
      <c r="S21" s="790">
        <v>1</v>
      </c>
      <c r="T21" s="790">
        <v>0</v>
      </c>
      <c r="U21" s="625">
        <f>D21-'[10]Báo cáo chất lượng CB Mẫu 14'!C21</f>
        <v>1</v>
      </c>
    </row>
    <row r="22" spans="1:21" s="624" customFormat="1" ht="18" customHeight="1">
      <c r="A22" s="802" t="s">
        <v>78</v>
      </c>
      <c r="B22" s="793" t="s">
        <v>756</v>
      </c>
      <c r="C22" s="792">
        <f t="shared" si="2"/>
        <v>9</v>
      </c>
      <c r="D22" s="792">
        <f t="shared" si="3"/>
        <v>9</v>
      </c>
      <c r="E22" s="1115">
        <v>0</v>
      </c>
      <c r="F22" s="1115">
        <v>0</v>
      </c>
      <c r="G22" s="1115">
        <v>3</v>
      </c>
      <c r="H22" s="790">
        <v>0</v>
      </c>
      <c r="I22" s="790">
        <v>0</v>
      </c>
      <c r="J22" s="790">
        <v>0</v>
      </c>
      <c r="K22" s="790">
        <v>0</v>
      </c>
      <c r="L22" s="790">
        <v>3</v>
      </c>
      <c r="M22" s="790">
        <v>0</v>
      </c>
      <c r="N22" s="790">
        <v>0</v>
      </c>
      <c r="O22" s="790">
        <v>0</v>
      </c>
      <c r="P22" s="790">
        <v>0</v>
      </c>
      <c r="Q22" s="790">
        <v>1</v>
      </c>
      <c r="R22" s="790">
        <v>0</v>
      </c>
      <c r="S22" s="790">
        <v>2</v>
      </c>
      <c r="T22" s="790">
        <v>0</v>
      </c>
      <c r="U22" s="625">
        <f>D22-'[10]Báo cáo chất lượng CB Mẫu 14'!C22</f>
        <v>-1</v>
      </c>
    </row>
    <row r="23" spans="1:21" s="624" customFormat="1" ht="18.75" customHeight="1" thickBot="1">
      <c r="A23" s="803" t="s">
        <v>101</v>
      </c>
      <c r="B23" s="1069" t="s">
        <v>757</v>
      </c>
      <c r="C23" s="794">
        <f t="shared" si="2"/>
        <v>5</v>
      </c>
      <c r="D23" s="794">
        <f t="shared" si="3"/>
        <v>5</v>
      </c>
      <c r="E23" s="1122">
        <v>0</v>
      </c>
      <c r="F23" s="1122">
        <v>1</v>
      </c>
      <c r="G23" s="1122">
        <v>1</v>
      </c>
      <c r="H23" s="795">
        <v>0</v>
      </c>
      <c r="I23" s="795">
        <v>0</v>
      </c>
      <c r="J23" s="795">
        <v>0</v>
      </c>
      <c r="K23" s="795">
        <v>1</v>
      </c>
      <c r="L23" s="795">
        <v>0</v>
      </c>
      <c r="M23" s="795">
        <v>0</v>
      </c>
      <c r="N23" s="795">
        <v>0</v>
      </c>
      <c r="O23" s="795">
        <v>0</v>
      </c>
      <c r="P23" s="795">
        <v>0</v>
      </c>
      <c r="Q23" s="795">
        <v>1</v>
      </c>
      <c r="R23" s="795">
        <v>0</v>
      </c>
      <c r="S23" s="795">
        <v>1</v>
      </c>
      <c r="T23" s="795">
        <v>0</v>
      </c>
      <c r="U23" s="625">
        <f>D23-'[10]Báo cáo chất lượng CB Mẫu 14'!C23</f>
        <v>-2</v>
      </c>
    </row>
    <row r="24" ht="6" customHeight="1" thickTop="1"/>
    <row r="25" spans="1:20" s="560" customFormat="1" ht="15.75" customHeight="1">
      <c r="A25" s="626"/>
      <c r="B25" s="1752"/>
      <c r="C25" s="1752"/>
      <c r="D25" s="1752"/>
      <c r="E25" s="1752"/>
      <c r="F25" s="1136"/>
      <c r="G25" s="1136"/>
      <c r="H25" s="1136"/>
      <c r="I25" s="1136"/>
      <c r="J25" s="1136"/>
      <c r="K25" s="1136" t="s">
        <v>249</v>
      </c>
      <c r="L25" s="1132"/>
      <c r="M25" s="1753" t="str">
        <f>'Thong tin'!B9</f>
        <v>Bình Thuận, ngày 04 tháng 8 năm 2016</v>
      </c>
      <c r="N25" s="1753"/>
      <c r="O25" s="1753"/>
      <c r="P25" s="1753"/>
      <c r="Q25" s="1753"/>
      <c r="R25" s="1753"/>
      <c r="S25" s="1753"/>
      <c r="T25" s="1753"/>
    </row>
    <row r="26" spans="1:20" s="560" customFormat="1" ht="21" customHeight="1">
      <c r="A26" s="626"/>
      <c r="B26" s="1750" t="s">
        <v>250</v>
      </c>
      <c r="C26" s="1750"/>
      <c r="D26" s="1750"/>
      <c r="E26" s="1137"/>
      <c r="F26" s="1138"/>
      <c r="G26" s="1138"/>
      <c r="H26" s="1138"/>
      <c r="I26" s="1138"/>
      <c r="J26" s="1138"/>
      <c r="K26" s="1138"/>
      <c r="L26" s="1132"/>
      <c r="M26" s="1706" t="str">
        <f>'Thong tin'!B7</f>
        <v>KT. CỤC TRƯỞNG</v>
      </c>
      <c r="N26" s="1706"/>
      <c r="O26" s="1706"/>
      <c r="P26" s="1706"/>
      <c r="Q26" s="1706"/>
      <c r="R26" s="1706"/>
      <c r="S26" s="1706"/>
      <c r="T26" s="1706"/>
    </row>
    <row r="27" spans="1:20" s="560" customFormat="1" ht="18" customHeight="1">
      <c r="A27" s="579"/>
      <c r="B27" s="1732"/>
      <c r="C27" s="1732"/>
      <c r="D27" s="1732"/>
      <c r="E27" s="1139"/>
      <c r="F27" s="1139"/>
      <c r="G27" s="1139"/>
      <c r="H27" s="1139"/>
      <c r="I27" s="1139"/>
      <c r="J27" s="1139"/>
      <c r="K27" s="1139"/>
      <c r="L27" s="1139"/>
      <c r="M27" s="1706" t="str">
        <f>'Thong tin'!B8</f>
        <v>PHÓ CỤC TRƯỞNG</v>
      </c>
      <c r="N27" s="1706"/>
      <c r="O27" s="1706"/>
      <c r="P27" s="1706"/>
      <c r="Q27" s="1706"/>
      <c r="R27" s="1706"/>
      <c r="S27" s="1706"/>
      <c r="T27" s="1706"/>
    </row>
    <row r="28" spans="1:20" s="560" customFormat="1" ht="16.5">
      <c r="A28" s="579"/>
      <c r="B28" s="1139"/>
      <c r="C28" s="1139"/>
      <c r="D28" s="1139"/>
      <c r="E28" s="1139"/>
      <c r="F28" s="1139"/>
      <c r="G28" s="1139"/>
      <c r="H28" s="1139"/>
      <c r="I28" s="1139"/>
      <c r="J28" s="1139"/>
      <c r="K28" s="1139"/>
      <c r="L28" s="1139"/>
      <c r="M28" s="1099"/>
      <c r="N28" s="1099"/>
      <c r="O28" s="1099"/>
      <c r="P28" s="1099"/>
      <c r="Q28" s="683"/>
      <c r="R28" s="683"/>
      <c r="S28" s="683"/>
      <c r="T28" s="683"/>
    </row>
    <row r="29" spans="2:20" ht="13.5" customHeight="1" hidden="1">
      <c r="B29" s="1139"/>
      <c r="C29" s="1139"/>
      <c r="D29" s="1139"/>
      <c r="E29" s="1139"/>
      <c r="F29" s="1139"/>
      <c r="G29" s="1139"/>
      <c r="H29" s="1139"/>
      <c r="I29" s="1139"/>
      <c r="J29" s="1139"/>
      <c r="K29" s="1139"/>
      <c r="L29" s="1139"/>
      <c r="M29" s="1099"/>
      <c r="N29" s="1099"/>
      <c r="O29" s="1099"/>
      <c r="P29" s="1099"/>
      <c r="Q29" s="1099"/>
      <c r="R29" s="1099"/>
      <c r="S29" s="1099"/>
      <c r="T29" s="1099"/>
    </row>
    <row r="30" spans="1:20" ht="16.5" hidden="1">
      <c r="A30" s="627" t="s">
        <v>252</v>
      </c>
      <c r="B30" s="1139"/>
      <c r="C30" s="1139"/>
      <c r="D30" s="1139"/>
      <c r="E30" s="1139"/>
      <c r="F30" s="1139"/>
      <c r="G30" s="1139"/>
      <c r="H30" s="1139"/>
      <c r="I30" s="1139"/>
      <c r="J30" s="1139"/>
      <c r="K30" s="1139"/>
      <c r="L30" s="1139"/>
      <c r="M30" s="1099"/>
      <c r="N30" s="1099"/>
      <c r="O30" s="1099"/>
      <c r="P30" s="1099"/>
      <c r="Q30" s="1099"/>
      <c r="R30" s="1099"/>
      <c r="S30" s="1099"/>
      <c r="T30" s="1099"/>
    </row>
    <row r="31" spans="2:20" ht="16.5" hidden="1">
      <c r="B31" s="1140" t="s">
        <v>253</v>
      </c>
      <c r="C31" s="1139"/>
      <c r="D31" s="1139"/>
      <c r="E31" s="1139"/>
      <c r="F31" s="1139"/>
      <c r="G31" s="1139"/>
      <c r="H31" s="1139"/>
      <c r="I31" s="1139"/>
      <c r="J31" s="1139"/>
      <c r="K31" s="1139"/>
      <c r="L31" s="1139"/>
      <c r="M31" s="1099"/>
      <c r="N31" s="1099"/>
      <c r="O31" s="1099"/>
      <c r="P31" s="1099"/>
      <c r="Q31" s="1099"/>
      <c r="R31" s="1099"/>
      <c r="S31" s="1099"/>
      <c r="T31" s="1099"/>
    </row>
    <row r="32" spans="2:20" ht="16.5" hidden="1">
      <c r="B32" s="1140" t="s">
        <v>254</v>
      </c>
      <c r="C32" s="1139"/>
      <c r="D32" s="1139"/>
      <c r="E32" s="1139"/>
      <c r="F32" s="1139"/>
      <c r="G32" s="1139"/>
      <c r="H32" s="1139"/>
      <c r="I32" s="1139"/>
      <c r="J32" s="1139"/>
      <c r="K32" s="1139"/>
      <c r="L32" s="1139"/>
      <c r="M32" s="1099"/>
      <c r="N32" s="1099"/>
      <c r="O32" s="1099"/>
      <c r="P32" s="1099"/>
      <c r="Q32" s="1099"/>
      <c r="R32" s="1099"/>
      <c r="S32" s="1099"/>
      <c r="T32" s="1099"/>
    </row>
    <row r="33" spans="2:20" s="616" customFormat="1" ht="16.5">
      <c r="B33" s="1751"/>
      <c r="C33" s="1751"/>
      <c r="D33" s="1751"/>
      <c r="E33" s="1140"/>
      <c r="F33" s="1140"/>
      <c r="G33" s="1140"/>
      <c r="H33" s="1140"/>
      <c r="I33" s="1140"/>
      <c r="J33" s="1140"/>
      <c r="K33" s="1140"/>
      <c r="L33" s="1140"/>
      <c r="M33" s="1141"/>
      <c r="N33" s="1694"/>
      <c r="O33" s="1694"/>
      <c r="P33" s="1694"/>
      <c r="Q33" s="1694"/>
      <c r="R33" s="1694"/>
      <c r="S33" s="1694"/>
      <c r="T33" s="1141"/>
    </row>
    <row r="34" spans="2:20" ht="16.5">
      <c r="B34" s="1139"/>
      <c r="C34" s="1139"/>
      <c r="D34" s="1139"/>
      <c r="E34" s="1139"/>
      <c r="F34" s="1139"/>
      <c r="G34" s="1139"/>
      <c r="H34" s="1139"/>
      <c r="I34" s="1139"/>
      <c r="J34" s="1139"/>
      <c r="K34" s="1139"/>
      <c r="L34" s="1139"/>
      <c r="M34" s="1099"/>
      <c r="N34" s="1099"/>
      <c r="O34" s="1099"/>
      <c r="P34" s="1099"/>
      <c r="Q34" s="1099"/>
      <c r="R34" s="1099"/>
      <c r="S34" s="1099"/>
      <c r="T34" s="1099"/>
    </row>
    <row r="35" spans="2:21" ht="16.5">
      <c r="B35" s="1683" t="str">
        <f>'Thong tin'!B5</f>
        <v>Trần Quốc Bảo</v>
      </c>
      <c r="C35" s="1683"/>
      <c r="D35" s="1683"/>
      <c r="E35" s="1131"/>
      <c r="F35" s="1131"/>
      <c r="G35" s="1131"/>
      <c r="H35" s="1131"/>
      <c r="I35" s="1132"/>
      <c r="J35" s="1132"/>
      <c r="K35" s="1132"/>
      <c r="L35" s="1132"/>
      <c r="M35" s="1636" t="str">
        <f>'Thong tin'!B6</f>
        <v>Trần Nam</v>
      </c>
      <c r="N35" s="1636"/>
      <c r="O35" s="1636"/>
      <c r="P35" s="1636"/>
      <c r="Q35" s="1636"/>
      <c r="R35" s="1636"/>
      <c r="S35" s="1636"/>
      <c r="T35" s="1636"/>
      <c r="U35" s="553"/>
    </row>
    <row r="36" spans="2:20" ht="18.75">
      <c r="B36" s="580"/>
      <c r="C36" s="580"/>
      <c r="D36" s="580"/>
      <c r="E36" s="580"/>
      <c r="F36" s="580"/>
      <c r="G36" s="580"/>
      <c r="H36" s="580"/>
      <c r="I36" s="580"/>
      <c r="J36" s="580"/>
      <c r="K36" s="580"/>
      <c r="L36" s="580"/>
      <c r="M36" s="580"/>
      <c r="N36" s="580"/>
      <c r="O36" s="580"/>
      <c r="P36" s="580"/>
      <c r="Q36" s="580"/>
      <c r="R36" s="580"/>
      <c r="S36" s="580"/>
      <c r="T36" s="580"/>
    </row>
    <row r="37" spans="2:20" ht="18.75">
      <c r="B37" s="580"/>
      <c r="C37" s="580"/>
      <c r="D37" s="580"/>
      <c r="E37" s="580"/>
      <c r="F37" s="580"/>
      <c r="G37" s="580"/>
      <c r="H37" s="580"/>
      <c r="I37" s="580"/>
      <c r="J37" s="580"/>
      <c r="K37" s="580"/>
      <c r="L37" s="580"/>
      <c r="M37" s="580"/>
      <c r="N37" s="580"/>
      <c r="O37" s="580"/>
      <c r="P37" s="580"/>
      <c r="Q37" s="580"/>
      <c r="R37" s="580"/>
      <c r="S37" s="580"/>
      <c r="T37" s="580"/>
    </row>
  </sheetData>
  <sheetProtection/>
  <mergeCells count="34">
    <mergeCell ref="B25:E25"/>
    <mergeCell ref="M25:T25"/>
    <mergeCell ref="K8:L8"/>
    <mergeCell ref="M8:O8"/>
    <mergeCell ref="P8:P9"/>
    <mergeCell ref="T6:T9"/>
    <mergeCell ref="D7:D9"/>
    <mergeCell ref="E7:S7"/>
    <mergeCell ref="E8:G8"/>
    <mergeCell ref="H8:J8"/>
    <mergeCell ref="B35:D35"/>
    <mergeCell ref="M35:T35"/>
    <mergeCell ref="B26:D26"/>
    <mergeCell ref="M26:T26"/>
    <mergeCell ref="B27:D27"/>
    <mergeCell ref="M27:T27"/>
    <mergeCell ref="B33:D33"/>
    <mergeCell ref="N33:S33"/>
    <mergeCell ref="U8:U10"/>
    <mergeCell ref="A10:B10"/>
    <mergeCell ref="A11:B11"/>
    <mergeCell ref="D1:N2"/>
    <mergeCell ref="A2:C2"/>
    <mergeCell ref="P2:T2"/>
    <mergeCell ref="Q8:Q9"/>
    <mergeCell ref="R8:R9"/>
    <mergeCell ref="A6:B9"/>
    <mergeCell ref="C6:C9"/>
    <mergeCell ref="D6:S6"/>
    <mergeCell ref="S8:S9"/>
    <mergeCell ref="A1:B1"/>
    <mergeCell ref="A4:C4"/>
    <mergeCell ref="D4:N4"/>
    <mergeCell ref="D3:N3"/>
  </mergeCells>
  <printOptions horizontalCentered="1"/>
  <pageMargins left="0.53" right="0.44" top="0.25" bottom="0" header="0.22" footer="0.3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196" t="s">
        <v>28</v>
      </c>
      <c r="B1" s="1196"/>
      <c r="C1" s="107"/>
      <c r="D1" s="1183" t="s">
        <v>457</v>
      </c>
      <c r="E1" s="1183"/>
      <c r="F1" s="1183"/>
      <c r="G1" s="1183"/>
      <c r="H1" s="1183"/>
      <c r="I1" s="1183"/>
      <c r="J1" s="1183"/>
      <c r="K1" s="1183"/>
      <c r="L1" s="1183"/>
      <c r="M1" s="1171" t="s">
        <v>398</v>
      </c>
      <c r="N1" s="1172"/>
      <c r="O1" s="1172"/>
      <c r="P1" s="1172"/>
    </row>
    <row r="2" spans="1:16" s="51" customFormat="1" ht="34.5" customHeight="1">
      <c r="A2" s="1191" t="s">
        <v>399</v>
      </c>
      <c r="B2" s="1191"/>
      <c r="C2" s="1191"/>
      <c r="D2" s="1183"/>
      <c r="E2" s="1183"/>
      <c r="F2" s="1183"/>
      <c r="G2" s="1183"/>
      <c r="H2" s="1183"/>
      <c r="I2" s="1183"/>
      <c r="J2" s="1183"/>
      <c r="K2" s="1183"/>
      <c r="L2" s="1183"/>
      <c r="M2" s="1173" t="s">
        <v>458</v>
      </c>
      <c r="N2" s="1164"/>
      <c r="O2" s="1164"/>
      <c r="P2" s="1164"/>
    </row>
    <row r="3" spans="1:16" s="51" customFormat="1" ht="19.5" customHeight="1">
      <c r="A3" s="1190" t="s">
        <v>400</v>
      </c>
      <c r="B3" s="1190"/>
      <c r="C3" s="1190"/>
      <c r="D3" s="1183"/>
      <c r="E3" s="1183"/>
      <c r="F3" s="1183"/>
      <c r="G3" s="1183"/>
      <c r="H3" s="1183"/>
      <c r="I3" s="1183"/>
      <c r="J3" s="1183"/>
      <c r="K3" s="1183"/>
      <c r="L3" s="1183"/>
      <c r="M3" s="1173" t="s">
        <v>401</v>
      </c>
      <c r="N3" s="1164"/>
      <c r="O3" s="1164"/>
      <c r="P3" s="1164"/>
    </row>
    <row r="4" spans="1:16" s="112" customFormat="1" ht="18.75" customHeight="1">
      <c r="A4" s="108"/>
      <c r="B4" s="108"/>
      <c r="C4" s="109"/>
      <c r="D4" s="1210"/>
      <c r="E4" s="1210"/>
      <c r="F4" s="1210"/>
      <c r="G4" s="1210"/>
      <c r="H4" s="1210"/>
      <c r="I4" s="1210"/>
      <c r="J4" s="1210"/>
      <c r="K4" s="1210"/>
      <c r="L4" s="1210"/>
      <c r="M4" s="110" t="s">
        <v>402</v>
      </c>
      <c r="N4" s="111"/>
      <c r="O4" s="111"/>
      <c r="P4" s="111"/>
    </row>
    <row r="5" spans="1:16" ht="49.5" customHeight="1">
      <c r="A5" s="1179" t="s">
        <v>72</v>
      </c>
      <c r="B5" s="1180"/>
      <c r="C5" s="1193" t="s">
        <v>100</v>
      </c>
      <c r="D5" s="1194"/>
      <c r="E5" s="1194"/>
      <c r="F5" s="1194"/>
      <c r="G5" s="1194"/>
      <c r="H5" s="1194"/>
      <c r="I5" s="1194"/>
      <c r="J5" s="1194"/>
      <c r="K5" s="1197" t="s">
        <v>99</v>
      </c>
      <c r="L5" s="1197"/>
      <c r="M5" s="1197"/>
      <c r="N5" s="1197"/>
      <c r="O5" s="1197"/>
      <c r="P5" s="1197"/>
    </row>
    <row r="6" spans="1:16" ht="20.25" customHeight="1">
      <c r="A6" s="1181"/>
      <c r="B6" s="1182"/>
      <c r="C6" s="1193" t="s">
        <v>3</v>
      </c>
      <c r="D6" s="1194"/>
      <c r="E6" s="1194"/>
      <c r="F6" s="1192"/>
      <c r="G6" s="1197" t="s">
        <v>10</v>
      </c>
      <c r="H6" s="1197"/>
      <c r="I6" s="1197"/>
      <c r="J6" s="1197"/>
      <c r="K6" s="1165" t="s">
        <v>3</v>
      </c>
      <c r="L6" s="1165"/>
      <c r="M6" s="1165"/>
      <c r="N6" s="1176" t="s">
        <v>10</v>
      </c>
      <c r="O6" s="1176"/>
      <c r="P6" s="1176"/>
    </row>
    <row r="7" spans="1:16" ht="52.5" customHeight="1">
      <c r="A7" s="1181"/>
      <c r="B7" s="1182"/>
      <c r="C7" s="1174" t="s">
        <v>403</v>
      </c>
      <c r="D7" s="1194" t="s">
        <v>96</v>
      </c>
      <c r="E7" s="1194"/>
      <c r="F7" s="1192"/>
      <c r="G7" s="1197" t="s">
        <v>404</v>
      </c>
      <c r="H7" s="1197" t="s">
        <v>96</v>
      </c>
      <c r="I7" s="1197"/>
      <c r="J7" s="1197"/>
      <c r="K7" s="1197" t="s">
        <v>39</v>
      </c>
      <c r="L7" s="1197" t="s">
        <v>97</v>
      </c>
      <c r="M7" s="1197"/>
      <c r="N7" s="1197" t="s">
        <v>80</v>
      </c>
      <c r="O7" s="1197" t="s">
        <v>97</v>
      </c>
      <c r="P7" s="1197"/>
    </row>
    <row r="8" spans="1:16" ht="15.75" customHeight="1">
      <c r="A8" s="1181"/>
      <c r="B8" s="1182"/>
      <c r="C8" s="1174"/>
      <c r="D8" s="1197" t="s">
        <v>44</v>
      </c>
      <c r="E8" s="1197" t="s">
        <v>45</v>
      </c>
      <c r="F8" s="1197" t="s">
        <v>48</v>
      </c>
      <c r="G8" s="1197"/>
      <c r="H8" s="1197" t="s">
        <v>44</v>
      </c>
      <c r="I8" s="1197" t="s">
        <v>45</v>
      </c>
      <c r="J8" s="1197" t="s">
        <v>48</v>
      </c>
      <c r="K8" s="1197"/>
      <c r="L8" s="1197" t="s">
        <v>16</v>
      </c>
      <c r="M8" s="1197" t="s">
        <v>15</v>
      </c>
      <c r="N8" s="1197"/>
      <c r="O8" s="1197" t="s">
        <v>16</v>
      </c>
      <c r="P8" s="1197" t="s">
        <v>15</v>
      </c>
    </row>
    <row r="9" spans="1:16" ht="44.25" customHeight="1">
      <c r="A9" s="1177"/>
      <c r="B9" s="1178"/>
      <c r="C9" s="1175"/>
      <c r="D9" s="1197"/>
      <c r="E9" s="1197"/>
      <c r="F9" s="1197"/>
      <c r="G9" s="1197"/>
      <c r="H9" s="1197"/>
      <c r="I9" s="1197"/>
      <c r="J9" s="1197"/>
      <c r="K9" s="1197"/>
      <c r="L9" s="1197"/>
      <c r="M9" s="1197"/>
      <c r="N9" s="1197"/>
      <c r="O9" s="1197"/>
      <c r="P9" s="1197"/>
    </row>
    <row r="10" spans="1:16" ht="15" customHeight="1">
      <c r="A10" s="1188" t="s">
        <v>6</v>
      </c>
      <c r="B10" s="1189"/>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169" t="s">
        <v>405</v>
      </c>
      <c r="B11" s="1170"/>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184" t="s">
        <v>406</v>
      </c>
      <c r="B12" s="1185"/>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186" t="s">
        <v>41</v>
      </c>
      <c r="B13" s="1187"/>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374</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375</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407</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377</v>
      </c>
    </row>
    <row r="18" spans="1:16" s="51" customFormat="1" ht="15" customHeight="1">
      <c r="A18" s="125" t="s">
        <v>58</v>
      </c>
      <c r="B18" s="126" t="s">
        <v>378</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379</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380</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381</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382</v>
      </c>
      <c r="AK21" s="51" t="s">
        <v>383</v>
      </c>
      <c r="AL21" s="51" t="s">
        <v>384</v>
      </c>
      <c r="AM21" s="122" t="s">
        <v>385</v>
      </c>
    </row>
    <row r="22" spans="1:39" s="51" customFormat="1" ht="15" customHeight="1">
      <c r="A22" s="125" t="s">
        <v>76</v>
      </c>
      <c r="B22" s="126" t="s">
        <v>386</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387</v>
      </c>
    </row>
    <row r="23" spans="1:16" s="51" customFormat="1" ht="15" customHeight="1">
      <c r="A23" s="125" t="s">
        <v>77</v>
      </c>
      <c r="B23" s="126" t="s">
        <v>388</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389</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382</v>
      </c>
    </row>
    <row r="25" spans="1:36" s="51" customFormat="1" ht="15" customHeight="1">
      <c r="A25" s="125" t="s">
        <v>101</v>
      </c>
      <c r="B25" s="126" t="s">
        <v>390</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391</v>
      </c>
    </row>
    <row r="26" spans="1:44" s="51" customFormat="1" ht="15" customHeight="1">
      <c r="A26" s="125" t="s">
        <v>102</v>
      </c>
      <c r="B26" s="126" t="s">
        <v>392</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267" t="s">
        <v>459</v>
      </c>
      <c r="C28" s="1268"/>
      <c r="D28" s="1268"/>
      <c r="E28" s="1268"/>
      <c r="F28" s="132"/>
      <c r="G28" s="132"/>
      <c r="H28" s="132"/>
      <c r="I28" s="132"/>
      <c r="J28" s="132"/>
      <c r="K28" s="1166" t="s">
        <v>460</v>
      </c>
      <c r="L28" s="1166"/>
      <c r="M28" s="1166"/>
      <c r="N28" s="1166"/>
      <c r="O28" s="1166"/>
      <c r="P28" s="1166"/>
      <c r="AG28" s="82" t="s">
        <v>394</v>
      </c>
      <c r="AI28" s="122">
        <f>82/88</f>
        <v>0.9318181818181818</v>
      </c>
    </row>
    <row r="29" spans="2:16" ht="16.5">
      <c r="B29" s="1268"/>
      <c r="C29" s="1268"/>
      <c r="D29" s="1268"/>
      <c r="E29" s="1268"/>
      <c r="F29" s="132"/>
      <c r="G29" s="132"/>
      <c r="H29" s="132"/>
      <c r="I29" s="132"/>
      <c r="J29" s="132"/>
      <c r="K29" s="1166"/>
      <c r="L29" s="1166"/>
      <c r="M29" s="1166"/>
      <c r="N29" s="1166"/>
      <c r="O29" s="1166"/>
      <c r="P29" s="1166"/>
    </row>
    <row r="30" spans="2:16" ht="21" customHeight="1">
      <c r="B30" s="1268"/>
      <c r="C30" s="1268"/>
      <c r="D30" s="1268"/>
      <c r="E30" s="1268"/>
      <c r="F30" s="132"/>
      <c r="G30" s="132"/>
      <c r="H30" s="132"/>
      <c r="I30" s="132"/>
      <c r="J30" s="132"/>
      <c r="K30" s="1166"/>
      <c r="L30" s="1166"/>
      <c r="M30" s="1166"/>
      <c r="N30" s="1166"/>
      <c r="O30" s="1166"/>
      <c r="P30" s="1166"/>
    </row>
    <row r="32" spans="2:16" ht="16.5" customHeight="1">
      <c r="B32" s="1270" t="s">
        <v>397</v>
      </c>
      <c r="C32" s="1270"/>
      <c r="D32" s="1270"/>
      <c r="E32" s="133"/>
      <c r="F32" s="133"/>
      <c r="G32" s="133"/>
      <c r="H32" s="133"/>
      <c r="I32" s="133"/>
      <c r="J32" s="133"/>
      <c r="K32" s="1269" t="s">
        <v>461</v>
      </c>
      <c r="L32" s="1269"/>
      <c r="M32" s="1269"/>
      <c r="N32" s="1269"/>
      <c r="O32" s="1269"/>
      <c r="P32" s="1269"/>
    </row>
    <row r="33" ht="12.75" customHeight="1"/>
    <row r="34" spans="2:5" ht="15.75">
      <c r="B34" s="134"/>
      <c r="C34" s="134"/>
      <c r="D34" s="134"/>
      <c r="E34" s="134"/>
    </row>
    <row r="35" ht="15.75" hidden="1"/>
    <row r="36" spans="2:16" ht="15.75">
      <c r="B36" s="1265" t="s">
        <v>350</v>
      </c>
      <c r="C36" s="1265"/>
      <c r="D36" s="1265"/>
      <c r="E36" s="1265"/>
      <c r="F36" s="135"/>
      <c r="G36" s="135"/>
      <c r="H36" s="135"/>
      <c r="I36" s="135"/>
      <c r="K36" s="1266" t="s">
        <v>351</v>
      </c>
      <c r="L36" s="1266"/>
      <c r="M36" s="1266"/>
      <c r="N36" s="1266"/>
      <c r="O36" s="1266"/>
      <c r="P36" s="1266"/>
    </row>
    <row r="39" ht="15.75">
      <c r="A39" s="137" t="s">
        <v>49</v>
      </c>
    </row>
    <row r="40" spans="1:6" ht="15.75">
      <c r="A40" s="138"/>
      <c r="B40" s="139" t="s">
        <v>59</v>
      </c>
      <c r="C40" s="139"/>
      <c r="D40" s="139"/>
      <c r="E40" s="139"/>
      <c r="F40" s="139"/>
    </row>
    <row r="41" spans="1:14" ht="15.75" customHeight="1">
      <c r="A41" s="140" t="s">
        <v>27</v>
      </c>
      <c r="B41" s="1168" t="s">
        <v>63</v>
      </c>
      <c r="C41" s="1168"/>
      <c r="D41" s="1168"/>
      <c r="E41" s="1168"/>
      <c r="F41" s="1168"/>
      <c r="G41" s="140"/>
      <c r="H41" s="140"/>
      <c r="I41" s="140"/>
      <c r="J41" s="140"/>
      <c r="K41" s="140"/>
      <c r="L41" s="140"/>
      <c r="M41" s="140"/>
      <c r="N41" s="140"/>
    </row>
    <row r="42" spans="1:14" ht="15" customHeight="1">
      <c r="A42" s="140"/>
      <c r="B42" s="1167" t="s">
        <v>66</v>
      </c>
      <c r="C42" s="1167"/>
      <c r="D42" s="1167"/>
      <c r="E42" s="1167"/>
      <c r="F42" s="1167"/>
      <c r="G42" s="1167"/>
      <c r="H42" s="141"/>
      <c r="I42" s="141"/>
      <c r="J42" s="141"/>
      <c r="K42" s="140"/>
      <c r="L42" s="140"/>
      <c r="M42" s="140"/>
      <c r="N42" s="140"/>
    </row>
  </sheetData>
  <sheetProtection/>
  <mergeCells count="45">
    <mergeCell ref="D4:L4"/>
    <mergeCell ref="D7:F7"/>
    <mergeCell ref="K28:P30"/>
    <mergeCell ref="B42:G42"/>
    <mergeCell ref="B41:F41"/>
    <mergeCell ref="B36:E36"/>
    <mergeCell ref="K36:P36"/>
    <mergeCell ref="B28:E30"/>
    <mergeCell ref="K32:P32"/>
    <mergeCell ref="B32:D32"/>
    <mergeCell ref="A11:B11"/>
    <mergeCell ref="P8:P9"/>
    <mergeCell ref="O8:O9"/>
    <mergeCell ref="M1:P1"/>
    <mergeCell ref="M2:P2"/>
    <mergeCell ref="M3:P3"/>
    <mergeCell ref="H8:H9"/>
    <mergeCell ref="L8:L9"/>
    <mergeCell ref="M8:M9"/>
    <mergeCell ref="K6:M6"/>
    <mergeCell ref="K5:P5"/>
    <mergeCell ref="N7:N9"/>
    <mergeCell ref="N6:P6"/>
    <mergeCell ref="O7:P7"/>
    <mergeCell ref="L7:M7"/>
    <mergeCell ref="A12:B12"/>
    <mergeCell ref="A13:B13"/>
    <mergeCell ref="G7:G9"/>
    <mergeCell ref="A10:B10"/>
    <mergeCell ref="A5:B9"/>
    <mergeCell ref="C5:J5"/>
    <mergeCell ref="G6:J6"/>
    <mergeCell ref="C7:C9"/>
    <mergeCell ref="H7:J7"/>
    <mergeCell ref="D8:D9"/>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Y36"/>
  <sheetViews>
    <sheetView showZeros="0" view="pageBreakPreview" zoomScaleSheetLayoutView="100" zoomScalePageLayoutView="0" workbookViewId="0" topLeftCell="A22">
      <selection activeCell="A28" sqref="A28:IV28"/>
    </sheetView>
  </sheetViews>
  <sheetFormatPr defaultColWidth="9.00390625" defaultRowHeight="15.75"/>
  <cols>
    <col min="1" max="1" width="3.75390625" style="592" customWidth="1"/>
    <col min="2" max="2" width="22.375" style="592" customWidth="1"/>
    <col min="3" max="3" width="6.375" style="592" customWidth="1"/>
    <col min="4" max="4" width="6.00390625" style="592" customWidth="1"/>
    <col min="5" max="5" width="5.875" style="592" customWidth="1"/>
    <col min="6" max="7" width="6.625" style="592" customWidth="1"/>
    <col min="8" max="8" width="5.875" style="592" customWidth="1"/>
    <col min="9" max="9" width="6.00390625" style="592" customWidth="1"/>
    <col min="10" max="10" width="6.625" style="592" customWidth="1"/>
    <col min="11" max="11" width="6.00390625" style="592" customWidth="1"/>
    <col min="12" max="12" width="6.375" style="592" customWidth="1"/>
    <col min="13" max="14" width="6.75390625" style="592" customWidth="1"/>
    <col min="15" max="15" width="6.875" style="592" customWidth="1"/>
    <col min="16" max="16" width="6.125" style="592" customWidth="1"/>
    <col min="17" max="17" width="6.00390625" style="592" customWidth="1"/>
    <col min="18" max="18" width="6.125" style="592" customWidth="1"/>
    <col min="19" max="19" width="6.25390625" style="592" customWidth="1"/>
    <col min="20" max="20" width="6.125" style="592" customWidth="1"/>
    <col min="21" max="16384" width="9.00390625" style="592" customWidth="1"/>
  </cols>
  <sheetData>
    <row r="1" spans="1:20" ht="16.5">
      <c r="A1" s="702" t="s">
        <v>255</v>
      </c>
      <c r="B1" s="493"/>
      <c r="C1" s="493"/>
      <c r="D1" s="490"/>
      <c r="E1" s="1759" t="s">
        <v>256</v>
      </c>
      <c r="F1" s="1759"/>
      <c r="G1" s="1759"/>
      <c r="H1" s="1759"/>
      <c r="I1" s="1759"/>
      <c r="J1" s="1759"/>
      <c r="K1" s="1759"/>
      <c r="L1" s="1759"/>
      <c r="M1" s="1759"/>
      <c r="N1" s="1759"/>
      <c r="O1" s="591"/>
      <c r="P1" s="1713" t="s">
        <v>666</v>
      </c>
      <c r="Q1" s="1760"/>
      <c r="R1" s="1760"/>
      <c r="S1" s="1760"/>
      <c r="T1" s="1760"/>
    </row>
    <row r="2" spans="1:20" ht="15.75" customHeight="1">
      <c r="A2" s="1601" t="s">
        <v>342</v>
      </c>
      <c r="B2" s="1601"/>
      <c r="C2" s="1601"/>
      <c r="D2" s="1601"/>
      <c r="E2" s="1761" t="s">
        <v>257</v>
      </c>
      <c r="F2" s="1761"/>
      <c r="G2" s="1761"/>
      <c r="H2" s="1761"/>
      <c r="I2" s="1761"/>
      <c r="J2" s="1761"/>
      <c r="K2" s="1761"/>
      <c r="L2" s="1761"/>
      <c r="M2" s="1761"/>
      <c r="N2" s="1761"/>
      <c r="O2" s="594"/>
      <c r="P2" s="1715" t="str">
        <f>'Thong tin'!B4</f>
        <v>Cục THADS tỉnh Bình Thuận</v>
      </c>
      <c r="Q2" s="1715"/>
      <c r="R2" s="1715"/>
      <c r="S2" s="1715"/>
      <c r="T2" s="1715"/>
    </row>
    <row r="3" spans="1:20" ht="17.25">
      <c r="A3" s="1607" t="s">
        <v>343</v>
      </c>
      <c r="B3" s="1607"/>
      <c r="C3" s="1607"/>
      <c r="D3" s="1607"/>
      <c r="E3" s="1716" t="str">
        <f>'Thong tin'!B3</f>
        <v>10 tháng / năm 2016</v>
      </c>
      <c r="F3" s="1716"/>
      <c r="G3" s="1716"/>
      <c r="H3" s="1716"/>
      <c r="I3" s="1716"/>
      <c r="J3" s="1716"/>
      <c r="K3" s="1716"/>
      <c r="L3" s="1716"/>
      <c r="M3" s="1716"/>
      <c r="N3" s="1716"/>
      <c r="O3" s="594"/>
      <c r="P3" s="1758" t="s">
        <v>468</v>
      </c>
      <c r="Q3" s="1758"/>
      <c r="R3" s="1758"/>
      <c r="S3" s="1758"/>
      <c r="T3" s="1758"/>
    </row>
    <row r="4" spans="1:20" ht="18.75" customHeight="1">
      <c r="A4" s="492" t="s">
        <v>217</v>
      </c>
      <c r="B4" s="456"/>
      <c r="C4" s="456"/>
      <c r="D4" s="456"/>
      <c r="E4" s="705"/>
      <c r="F4" s="705"/>
      <c r="G4" s="705"/>
      <c r="H4" s="705"/>
      <c r="I4" s="705"/>
      <c r="J4" s="705"/>
      <c r="K4" s="705"/>
      <c r="L4" s="705"/>
      <c r="M4" s="705"/>
      <c r="N4" s="705"/>
      <c r="O4" s="596"/>
      <c r="P4" s="1715" t="s">
        <v>401</v>
      </c>
      <c r="Q4" s="1758"/>
      <c r="R4" s="1758"/>
      <c r="S4" s="1758"/>
      <c r="T4" s="1758"/>
    </row>
    <row r="5" spans="1:20" ht="29.25" customHeight="1">
      <c r="A5" s="1718" t="s">
        <v>72</v>
      </c>
      <c r="B5" s="1766"/>
      <c r="C5" s="1769" t="s">
        <v>2</v>
      </c>
      <c r="D5" s="1772" t="s">
        <v>258</v>
      </c>
      <c r="E5" s="1773"/>
      <c r="F5" s="1773"/>
      <c r="G5" s="1773"/>
      <c r="H5" s="1773"/>
      <c r="I5" s="1773"/>
      <c r="J5" s="1774"/>
      <c r="K5" s="1775" t="s">
        <v>259</v>
      </c>
      <c r="L5" s="1776"/>
      <c r="M5" s="1776"/>
      <c r="N5" s="1776"/>
      <c r="O5" s="1776"/>
      <c r="P5" s="1776"/>
      <c r="Q5" s="1776"/>
      <c r="R5" s="1776"/>
      <c r="S5" s="1776"/>
      <c r="T5" s="1777"/>
    </row>
    <row r="6" spans="1:20" ht="19.5" customHeight="1">
      <c r="A6" s="1720"/>
      <c r="B6" s="1767"/>
      <c r="C6" s="1770"/>
      <c r="D6" s="1773" t="s">
        <v>7</v>
      </c>
      <c r="E6" s="1773"/>
      <c r="F6" s="1773"/>
      <c r="G6" s="1773"/>
      <c r="H6" s="1773"/>
      <c r="I6" s="1773"/>
      <c r="J6" s="1774"/>
      <c r="K6" s="1778"/>
      <c r="L6" s="1779"/>
      <c r="M6" s="1779"/>
      <c r="N6" s="1779"/>
      <c r="O6" s="1779"/>
      <c r="P6" s="1779"/>
      <c r="Q6" s="1779"/>
      <c r="R6" s="1779"/>
      <c r="S6" s="1779"/>
      <c r="T6" s="1780"/>
    </row>
    <row r="7" spans="1:20" ht="33" customHeight="1">
      <c r="A7" s="1720"/>
      <c r="B7" s="1767"/>
      <c r="C7" s="1770"/>
      <c r="D7" s="1762" t="s">
        <v>260</v>
      </c>
      <c r="E7" s="1763"/>
      <c r="F7" s="1764" t="s">
        <v>261</v>
      </c>
      <c r="G7" s="1763"/>
      <c r="H7" s="1764" t="s">
        <v>262</v>
      </c>
      <c r="I7" s="1763"/>
      <c r="J7" s="1764" t="s">
        <v>263</v>
      </c>
      <c r="K7" s="1765" t="s">
        <v>264</v>
      </c>
      <c r="L7" s="1765"/>
      <c r="M7" s="1765"/>
      <c r="N7" s="1765" t="s">
        <v>265</v>
      </c>
      <c r="O7" s="1765"/>
      <c r="P7" s="1765"/>
      <c r="Q7" s="1764" t="s">
        <v>266</v>
      </c>
      <c r="R7" s="1764" t="s">
        <v>267</v>
      </c>
      <c r="S7" s="1764" t="s">
        <v>268</v>
      </c>
      <c r="T7" s="1764" t="s">
        <v>269</v>
      </c>
    </row>
    <row r="8" spans="1:20" ht="18.75" customHeight="1">
      <c r="A8" s="1720"/>
      <c r="B8" s="1767"/>
      <c r="C8" s="1770"/>
      <c r="D8" s="1762" t="s">
        <v>270</v>
      </c>
      <c r="E8" s="1764" t="s">
        <v>271</v>
      </c>
      <c r="F8" s="1764" t="s">
        <v>270</v>
      </c>
      <c r="G8" s="1764" t="s">
        <v>271</v>
      </c>
      <c r="H8" s="1764" t="s">
        <v>270</v>
      </c>
      <c r="I8" s="1764" t="s">
        <v>272</v>
      </c>
      <c r="J8" s="1764"/>
      <c r="K8" s="1765"/>
      <c r="L8" s="1765"/>
      <c r="M8" s="1765"/>
      <c r="N8" s="1765"/>
      <c r="O8" s="1765"/>
      <c r="P8" s="1765"/>
      <c r="Q8" s="1764"/>
      <c r="R8" s="1764"/>
      <c r="S8" s="1764"/>
      <c r="T8" s="1764"/>
    </row>
    <row r="9" spans="1:20" ht="23.25" customHeight="1">
      <c r="A9" s="1748"/>
      <c r="B9" s="1768"/>
      <c r="C9" s="1771"/>
      <c r="D9" s="1762"/>
      <c r="E9" s="1764"/>
      <c r="F9" s="1764"/>
      <c r="G9" s="1764"/>
      <c r="H9" s="1764"/>
      <c r="I9" s="1764"/>
      <c r="J9" s="1764"/>
      <c r="K9" s="629" t="s">
        <v>273</v>
      </c>
      <c r="L9" s="629" t="s">
        <v>248</v>
      </c>
      <c r="M9" s="629" t="s">
        <v>274</v>
      </c>
      <c r="N9" s="629" t="s">
        <v>273</v>
      </c>
      <c r="O9" s="629" t="s">
        <v>275</v>
      </c>
      <c r="P9" s="629" t="s">
        <v>276</v>
      </c>
      <c r="Q9" s="1764"/>
      <c r="R9" s="1764"/>
      <c r="S9" s="1764"/>
      <c r="T9" s="1764"/>
    </row>
    <row r="10" spans="1:20" s="599" customFormat="1" ht="17.25" customHeight="1">
      <c r="A10" s="1784" t="s">
        <v>6</v>
      </c>
      <c r="B10" s="1785"/>
      <c r="C10" s="630">
        <v>1</v>
      </c>
      <c r="D10" s="631">
        <v>2</v>
      </c>
      <c r="E10" s="631">
        <v>3</v>
      </c>
      <c r="F10" s="631">
        <v>4</v>
      </c>
      <c r="G10" s="631">
        <v>5</v>
      </c>
      <c r="H10" s="631">
        <v>6</v>
      </c>
      <c r="I10" s="631">
        <v>7</v>
      </c>
      <c r="J10" s="631">
        <v>8</v>
      </c>
      <c r="K10" s="631">
        <v>9</v>
      </c>
      <c r="L10" s="631">
        <v>10</v>
      </c>
      <c r="M10" s="631">
        <v>11</v>
      </c>
      <c r="N10" s="631">
        <v>12</v>
      </c>
      <c r="O10" s="631">
        <v>13</v>
      </c>
      <c r="P10" s="631">
        <v>14</v>
      </c>
      <c r="Q10" s="631">
        <v>15</v>
      </c>
      <c r="R10" s="631">
        <v>16</v>
      </c>
      <c r="S10" s="631">
        <v>17</v>
      </c>
      <c r="T10" s="631">
        <v>18</v>
      </c>
    </row>
    <row r="11" spans="1:20" s="599" customFormat="1" ht="22.5" customHeight="1">
      <c r="A11" s="1781" t="s">
        <v>277</v>
      </c>
      <c r="B11" s="1782"/>
      <c r="C11" s="804">
        <f>C12+C13</f>
        <v>131</v>
      </c>
      <c r="D11" s="805">
        <f aca="true" t="shared" si="0" ref="D11:T11">D12+D13</f>
        <v>1</v>
      </c>
      <c r="E11" s="805">
        <f t="shared" si="0"/>
        <v>0</v>
      </c>
      <c r="F11" s="805">
        <f t="shared" si="0"/>
        <v>100</v>
      </c>
      <c r="G11" s="805">
        <f t="shared" si="0"/>
        <v>22</v>
      </c>
      <c r="H11" s="805">
        <f t="shared" si="0"/>
        <v>1</v>
      </c>
      <c r="I11" s="805">
        <f t="shared" si="0"/>
        <v>3</v>
      </c>
      <c r="J11" s="805">
        <f t="shared" si="0"/>
        <v>4</v>
      </c>
      <c r="K11" s="805">
        <f t="shared" si="0"/>
        <v>0</v>
      </c>
      <c r="L11" s="805">
        <f t="shared" si="0"/>
        <v>14</v>
      </c>
      <c r="M11" s="805">
        <f t="shared" si="0"/>
        <v>35</v>
      </c>
      <c r="N11" s="805">
        <f t="shared" si="0"/>
        <v>17</v>
      </c>
      <c r="O11" s="805">
        <f t="shared" si="0"/>
        <v>29</v>
      </c>
      <c r="P11" s="805">
        <f t="shared" si="0"/>
        <v>48</v>
      </c>
      <c r="Q11" s="805">
        <f t="shared" si="0"/>
        <v>59</v>
      </c>
      <c r="R11" s="805">
        <f t="shared" si="0"/>
        <v>4</v>
      </c>
      <c r="S11" s="805">
        <f t="shared" si="0"/>
        <v>25</v>
      </c>
      <c r="T11" s="805">
        <f t="shared" si="0"/>
        <v>43</v>
      </c>
    </row>
    <row r="12" spans="1:20" s="599" customFormat="1" ht="20.25" customHeight="1">
      <c r="A12" s="781" t="s">
        <v>0</v>
      </c>
      <c r="B12" s="207" t="s">
        <v>758</v>
      </c>
      <c r="C12" s="1142">
        <f>D12+E12+F12+G12+H12+I12+J12</f>
        <v>24</v>
      </c>
      <c r="D12" s="790">
        <v>1</v>
      </c>
      <c r="E12" s="790">
        <v>0</v>
      </c>
      <c r="F12" s="790">
        <v>17</v>
      </c>
      <c r="G12" s="790">
        <v>4</v>
      </c>
      <c r="H12" s="790">
        <v>0</v>
      </c>
      <c r="I12" s="1143">
        <v>1</v>
      </c>
      <c r="J12" s="1143">
        <v>1</v>
      </c>
      <c r="K12" s="1143">
        <v>0</v>
      </c>
      <c r="L12" s="1143">
        <v>7</v>
      </c>
      <c r="M12" s="790">
        <v>10</v>
      </c>
      <c r="N12" s="790">
        <v>8</v>
      </c>
      <c r="O12" s="790">
        <v>5</v>
      </c>
      <c r="P12" s="790">
        <v>11</v>
      </c>
      <c r="Q12" s="790">
        <v>13</v>
      </c>
      <c r="R12" s="790">
        <v>0</v>
      </c>
      <c r="S12" s="790">
        <v>3</v>
      </c>
      <c r="T12" s="790">
        <v>8</v>
      </c>
    </row>
    <row r="13" spans="1:20" s="599" customFormat="1" ht="21" customHeight="1">
      <c r="A13" s="784" t="s">
        <v>1</v>
      </c>
      <c r="B13" s="791" t="s">
        <v>19</v>
      </c>
      <c r="C13" s="1142">
        <f>C14+C15+C16+C17+C18+C19+C20+C21+C22+C23</f>
        <v>107</v>
      </c>
      <c r="D13" s="792">
        <f aca="true" t="shared" si="1" ref="D13:T13">D14+D15+D16+D17+D18+D19+D20+D21+D22+D23</f>
        <v>0</v>
      </c>
      <c r="E13" s="792">
        <f t="shared" si="1"/>
        <v>0</v>
      </c>
      <c r="F13" s="792">
        <f t="shared" si="1"/>
        <v>83</v>
      </c>
      <c r="G13" s="792">
        <f t="shared" si="1"/>
        <v>18</v>
      </c>
      <c r="H13" s="792">
        <f t="shared" si="1"/>
        <v>1</v>
      </c>
      <c r="I13" s="792">
        <f t="shared" si="1"/>
        <v>2</v>
      </c>
      <c r="J13" s="792">
        <f t="shared" si="1"/>
        <v>3</v>
      </c>
      <c r="K13" s="792">
        <f t="shared" si="1"/>
        <v>0</v>
      </c>
      <c r="L13" s="792">
        <f t="shared" si="1"/>
        <v>7</v>
      </c>
      <c r="M13" s="792">
        <f t="shared" si="1"/>
        <v>25</v>
      </c>
      <c r="N13" s="792">
        <f t="shared" si="1"/>
        <v>9</v>
      </c>
      <c r="O13" s="792">
        <f t="shared" si="1"/>
        <v>24</v>
      </c>
      <c r="P13" s="792">
        <f t="shared" si="1"/>
        <v>37</v>
      </c>
      <c r="Q13" s="792">
        <f t="shared" si="1"/>
        <v>46</v>
      </c>
      <c r="R13" s="792">
        <f t="shared" si="1"/>
        <v>4</v>
      </c>
      <c r="S13" s="792">
        <f t="shared" si="1"/>
        <v>22</v>
      </c>
      <c r="T13" s="792">
        <f t="shared" si="1"/>
        <v>35</v>
      </c>
    </row>
    <row r="14" spans="1:20" s="599" customFormat="1" ht="18.75" customHeight="1">
      <c r="A14" s="806" t="s">
        <v>52</v>
      </c>
      <c r="B14" s="793" t="s">
        <v>748</v>
      </c>
      <c r="C14" s="1142">
        <f>D14+E14+F14+G14+H14+I14+J14</f>
        <v>17</v>
      </c>
      <c r="D14" s="790">
        <v>0</v>
      </c>
      <c r="E14" s="790">
        <v>0</v>
      </c>
      <c r="F14" s="790">
        <v>15</v>
      </c>
      <c r="G14" s="790">
        <v>2</v>
      </c>
      <c r="H14" s="790">
        <v>0</v>
      </c>
      <c r="I14" s="1143">
        <v>0</v>
      </c>
      <c r="J14" s="1143">
        <v>0</v>
      </c>
      <c r="K14" s="1143">
        <v>0</v>
      </c>
      <c r="L14" s="1143">
        <v>1</v>
      </c>
      <c r="M14" s="790">
        <v>4</v>
      </c>
      <c r="N14" s="790">
        <v>1</v>
      </c>
      <c r="O14" s="790">
        <v>2</v>
      </c>
      <c r="P14" s="790">
        <v>3</v>
      </c>
      <c r="Q14" s="790">
        <v>10</v>
      </c>
      <c r="R14" s="790">
        <v>2</v>
      </c>
      <c r="S14" s="790">
        <v>3</v>
      </c>
      <c r="T14" s="790">
        <v>2</v>
      </c>
    </row>
    <row r="15" spans="1:20" s="599" customFormat="1" ht="18.75" customHeight="1">
      <c r="A15" s="806" t="s">
        <v>53</v>
      </c>
      <c r="B15" s="793" t="s">
        <v>749</v>
      </c>
      <c r="C15" s="1142">
        <f aca="true" t="shared" si="2" ref="C15:C23">D15+E15+F15+G15+H15+I15+J15</f>
        <v>12</v>
      </c>
      <c r="D15" s="790">
        <v>0</v>
      </c>
      <c r="E15" s="790">
        <v>0</v>
      </c>
      <c r="F15" s="790">
        <v>9</v>
      </c>
      <c r="G15" s="790">
        <v>2</v>
      </c>
      <c r="H15" s="790">
        <v>0</v>
      </c>
      <c r="I15" s="1143">
        <v>1</v>
      </c>
      <c r="J15" s="1143">
        <v>0</v>
      </c>
      <c r="K15" s="1143">
        <v>0</v>
      </c>
      <c r="L15" s="1143">
        <v>3</v>
      </c>
      <c r="M15" s="790">
        <v>0</v>
      </c>
      <c r="N15" s="790">
        <v>2</v>
      </c>
      <c r="O15" s="790">
        <v>2</v>
      </c>
      <c r="P15" s="790">
        <v>7</v>
      </c>
      <c r="Q15" s="790">
        <v>5</v>
      </c>
      <c r="R15" s="790">
        <v>0</v>
      </c>
      <c r="S15" s="790">
        <v>3</v>
      </c>
      <c r="T15" s="790">
        <v>4</v>
      </c>
    </row>
    <row r="16" spans="1:20" s="599" customFormat="1" ht="19.5" customHeight="1">
      <c r="A16" s="806" t="s">
        <v>58</v>
      </c>
      <c r="B16" s="793" t="s">
        <v>750</v>
      </c>
      <c r="C16" s="1142">
        <f t="shared" si="2"/>
        <v>13</v>
      </c>
      <c r="D16" s="790">
        <v>0</v>
      </c>
      <c r="E16" s="790">
        <v>0</v>
      </c>
      <c r="F16" s="790">
        <v>10</v>
      </c>
      <c r="G16" s="790">
        <v>3</v>
      </c>
      <c r="H16" s="790">
        <v>0</v>
      </c>
      <c r="I16" s="1143">
        <v>0</v>
      </c>
      <c r="J16" s="1143">
        <v>0</v>
      </c>
      <c r="K16" s="1143">
        <v>0</v>
      </c>
      <c r="L16" s="1143">
        <v>0</v>
      </c>
      <c r="M16" s="790">
        <v>2</v>
      </c>
      <c r="N16" s="790">
        <v>1</v>
      </c>
      <c r="O16" s="790">
        <v>4</v>
      </c>
      <c r="P16" s="790">
        <v>3</v>
      </c>
      <c r="Q16" s="790">
        <v>5</v>
      </c>
      <c r="R16" s="790">
        <v>0</v>
      </c>
      <c r="S16" s="790">
        <v>1</v>
      </c>
      <c r="T16" s="790">
        <v>7</v>
      </c>
    </row>
    <row r="17" spans="1:20" s="599" customFormat="1" ht="18.75" customHeight="1">
      <c r="A17" s="806" t="s">
        <v>73</v>
      </c>
      <c r="B17" s="793" t="s">
        <v>751</v>
      </c>
      <c r="C17" s="1142">
        <f t="shared" si="2"/>
        <v>11</v>
      </c>
      <c r="D17" s="790">
        <v>0</v>
      </c>
      <c r="E17" s="790">
        <v>0</v>
      </c>
      <c r="F17" s="790">
        <v>7</v>
      </c>
      <c r="G17" s="790">
        <v>3</v>
      </c>
      <c r="H17" s="790">
        <v>0</v>
      </c>
      <c r="I17" s="1143">
        <v>0</v>
      </c>
      <c r="J17" s="1143">
        <v>1</v>
      </c>
      <c r="K17" s="1143">
        <v>0</v>
      </c>
      <c r="L17" s="1143">
        <v>0</v>
      </c>
      <c r="M17" s="790">
        <v>4</v>
      </c>
      <c r="N17" s="790">
        <v>1</v>
      </c>
      <c r="O17" s="790">
        <v>2</v>
      </c>
      <c r="P17" s="790">
        <v>3</v>
      </c>
      <c r="Q17" s="790">
        <v>6</v>
      </c>
      <c r="R17" s="790">
        <v>0</v>
      </c>
      <c r="S17" s="790">
        <v>1</v>
      </c>
      <c r="T17" s="790">
        <v>4</v>
      </c>
    </row>
    <row r="18" spans="1:20" s="599" customFormat="1" ht="19.5" customHeight="1">
      <c r="A18" s="806" t="s">
        <v>74</v>
      </c>
      <c r="B18" s="793" t="s">
        <v>752</v>
      </c>
      <c r="C18" s="1142">
        <f t="shared" si="2"/>
        <v>11</v>
      </c>
      <c r="D18" s="790">
        <v>0</v>
      </c>
      <c r="E18" s="790">
        <v>0</v>
      </c>
      <c r="F18" s="790">
        <v>8</v>
      </c>
      <c r="G18" s="790">
        <v>2</v>
      </c>
      <c r="H18" s="790">
        <v>0</v>
      </c>
      <c r="I18" s="1143">
        <v>0</v>
      </c>
      <c r="J18" s="1143">
        <v>1</v>
      </c>
      <c r="K18" s="1143">
        <v>0</v>
      </c>
      <c r="L18" s="1143">
        <v>0</v>
      </c>
      <c r="M18" s="790">
        <v>2</v>
      </c>
      <c r="N18" s="790">
        <v>0</v>
      </c>
      <c r="O18" s="790">
        <v>4</v>
      </c>
      <c r="P18" s="790">
        <v>2</v>
      </c>
      <c r="Q18" s="790">
        <v>4</v>
      </c>
      <c r="R18" s="790">
        <v>1</v>
      </c>
      <c r="S18" s="790">
        <v>1</v>
      </c>
      <c r="T18" s="790">
        <v>5</v>
      </c>
    </row>
    <row r="19" spans="1:20" s="599" customFormat="1" ht="19.5" customHeight="1">
      <c r="A19" s="806" t="s">
        <v>75</v>
      </c>
      <c r="B19" s="793" t="s">
        <v>753</v>
      </c>
      <c r="C19" s="1142">
        <f t="shared" si="2"/>
        <v>8</v>
      </c>
      <c r="D19" s="790">
        <v>0</v>
      </c>
      <c r="E19" s="790">
        <v>0</v>
      </c>
      <c r="F19" s="790">
        <v>5</v>
      </c>
      <c r="G19" s="790">
        <v>1</v>
      </c>
      <c r="H19" s="790">
        <v>1</v>
      </c>
      <c r="I19" s="1143">
        <v>1</v>
      </c>
      <c r="J19" s="1143">
        <v>0</v>
      </c>
      <c r="K19" s="1143">
        <v>0</v>
      </c>
      <c r="L19" s="1143">
        <v>0</v>
      </c>
      <c r="M19" s="790">
        <v>1</v>
      </c>
      <c r="N19" s="790">
        <v>0</v>
      </c>
      <c r="O19" s="790">
        <v>1</v>
      </c>
      <c r="P19" s="790">
        <v>0</v>
      </c>
      <c r="Q19" s="790">
        <v>2</v>
      </c>
      <c r="R19" s="790">
        <v>1</v>
      </c>
      <c r="S19" s="790">
        <v>3</v>
      </c>
      <c r="T19" s="790">
        <v>2</v>
      </c>
    </row>
    <row r="20" spans="1:20" s="599" customFormat="1" ht="18.75" customHeight="1">
      <c r="A20" s="806" t="s">
        <v>76</v>
      </c>
      <c r="B20" s="793" t="s">
        <v>754</v>
      </c>
      <c r="C20" s="1142">
        <f t="shared" si="2"/>
        <v>12</v>
      </c>
      <c r="D20" s="790">
        <v>0</v>
      </c>
      <c r="E20" s="790">
        <v>0</v>
      </c>
      <c r="F20" s="790">
        <v>10</v>
      </c>
      <c r="G20" s="790">
        <v>2</v>
      </c>
      <c r="H20" s="790">
        <v>0</v>
      </c>
      <c r="I20" s="1143">
        <v>0</v>
      </c>
      <c r="J20" s="1143">
        <v>0</v>
      </c>
      <c r="K20" s="1143">
        <v>0</v>
      </c>
      <c r="L20" s="1143">
        <v>2</v>
      </c>
      <c r="M20" s="790">
        <v>4</v>
      </c>
      <c r="N20" s="790">
        <v>2</v>
      </c>
      <c r="O20" s="790">
        <v>1</v>
      </c>
      <c r="P20" s="790">
        <v>8</v>
      </c>
      <c r="Q20" s="790">
        <v>5</v>
      </c>
      <c r="R20" s="790">
        <v>0</v>
      </c>
      <c r="S20" s="790">
        <v>5</v>
      </c>
      <c r="T20" s="790">
        <v>2</v>
      </c>
    </row>
    <row r="21" spans="1:20" s="599" customFormat="1" ht="19.5" customHeight="1">
      <c r="A21" s="806" t="s">
        <v>77</v>
      </c>
      <c r="B21" s="793" t="s">
        <v>755</v>
      </c>
      <c r="C21" s="1142">
        <f t="shared" si="2"/>
        <v>9</v>
      </c>
      <c r="D21" s="790">
        <v>0</v>
      </c>
      <c r="E21" s="790">
        <v>0</v>
      </c>
      <c r="F21" s="790">
        <v>8</v>
      </c>
      <c r="G21" s="790">
        <v>1</v>
      </c>
      <c r="H21" s="790">
        <v>0</v>
      </c>
      <c r="I21" s="1143">
        <v>0</v>
      </c>
      <c r="J21" s="1143">
        <v>0</v>
      </c>
      <c r="K21" s="1143">
        <v>0</v>
      </c>
      <c r="L21" s="1143">
        <v>0</v>
      </c>
      <c r="M21" s="790">
        <v>2</v>
      </c>
      <c r="N21" s="790">
        <v>1</v>
      </c>
      <c r="O21" s="790">
        <v>3</v>
      </c>
      <c r="P21" s="790">
        <v>2</v>
      </c>
      <c r="Q21" s="790">
        <v>4</v>
      </c>
      <c r="R21" s="790">
        <v>0</v>
      </c>
      <c r="S21" s="790">
        <v>1</v>
      </c>
      <c r="T21" s="790">
        <v>4</v>
      </c>
    </row>
    <row r="22" spans="1:20" s="599" customFormat="1" ht="18.75" customHeight="1">
      <c r="A22" s="806" t="s">
        <v>78</v>
      </c>
      <c r="B22" s="793" t="s">
        <v>756</v>
      </c>
      <c r="C22" s="1142">
        <f t="shared" si="2"/>
        <v>9</v>
      </c>
      <c r="D22" s="790">
        <v>0</v>
      </c>
      <c r="E22" s="790">
        <v>0</v>
      </c>
      <c r="F22" s="790">
        <v>7</v>
      </c>
      <c r="G22" s="790">
        <v>2</v>
      </c>
      <c r="H22" s="790">
        <v>0</v>
      </c>
      <c r="I22" s="1143">
        <v>0</v>
      </c>
      <c r="J22" s="1143">
        <v>0</v>
      </c>
      <c r="K22" s="1143">
        <v>0</v>
      </c>
      <c r="L22" s="1143">
        <v>0</v>
      </c>
      <c r="M22" s="790">
        <v>4</v>
      </c>
      <c r="N22" s="790">
        <v>0</v>
      </c>
      <c r="O22" s="790">
        <v>3</v>
      </c>
      <c r="P22" s="790">
        <v>5</v>
      </c>
      <c r="Q22" s="790">
        <v>3</v>
      </c>
      <c r="R22" s="790">
        <v>0</v>
      </c>
      <c r="S22" s="790">
        <v>3</v>
      </c>
      <c r="T22" s="790">
        <v>3</v>
      </c>
    </row>
    <row r="23" spans="1:25" s="599" customFormat="1" ht="20.25" customHeight="1" thickBot="1">
      <c r="A23" s="807" t="s">
        <v>101</v>
      </c>
      <c r="B23" s="1069" t="s">
        <v>757</v>
      </c>
      <c r="C23" s="1144">
        <f t="shared" si="2"/>
        <v>5</v>
      </c>
      <c r="D23" s="795">
        <v>0</v>
      </c>
      <c r="E23" s="795">
        <v>0</v>
      </c>
      <c r="F23" s="795">
        <v>4</v>
      </c>
      <c r="G23" s="795">
        <v>0</v>
      </c>
      <c r="H23" s="795">
        <v>0</v>
      </c>
      <c r="I23" s="1145">
        <v>0</v>
      </c>
      <c r="J23" s="1145">
        <v>1</v>
      </c>
      <c r="K23" s="1145">
        <v>0</v>
      </c>
      <c r="L23" s="1145">
        <v>1</v>
      </c>
      <c r="M23" s="795">
        <v>2</v>
      </c>
      <c r="N23" s="795">
        <v>1</v>
      </c>
      <c r="O23" s="795">
        <v>2</v>
      </c>
      <c r="P23" s="795">
        <v>4</v>
      </c>
      <c r="Q23" s="795">
        <v>2</v>
      </c>
      <c r="R23" s="795">
        <v>0</v>
      </c>
      <c r="S23" s="795">
        <v>1</v>
      </c>
      <c r="T23" s="795">
        <v>2</v>
      </c>
      <c r="Y23" s="605"/>
    </row>
    <row r="24" spans="1:17" ht="6.75" customHeight="1" thickTop="1">
      <c r="A24" s="611"/>
      <c r="B24" s="611"/>
      <c r="C24" s="611"/>
      <c r="D24" s="611"/>
      <c r="E24" s="611"/>
      <c r="F24" s="611"/>
      <c r="G24" s="611"/>
      <c r="H24" s="611"/>
      <c r="I24" s="611"/>
      <c r="J24" s="611"/>
      <c r="K24" s="611"/>
      <c r="L24" s="611"/>
      <c r="M24" s="611"/>
      <c r="N24" s="611"/>
      <c r="O24" s="611"/>
      <c r="P24" s="611"/>
      <c r="Q24" s="611"/>
    </row>
    <row r="25" spans="1:20" ht="15.75" customHeight="1">
      <c r="A25" s="606"/>
      <c r="B25" s="1703"/>
      <c r="C25" s="1703"/>
      <c r="D25" s="1703"/>
      <c r="E25" s="1703"/>
      <c r="F25" s="1703"/>
      <c r="G25" s="1094"/>
      <c r="H25" s="1094"/>
      <c r="I25" s="1094"/>
      <c r="J25" s="1094"/>
      <c r="K25" s="1094"/>
      <c r="L25" s="683"/>
      <c r="M25" s="1753" t="str">
        <f>'Thong tin'!B9</f>
        <v>Bình Thuận, ngày 04 tháng 8 năm 2016</v>
      </c>
      <c r="N25" s="1753"/>
      <c r="O25" s="1753"/>
      <c r="P25" s="1753"/>
      <c r="Q25" s="1753"/>
      <c r="R25" s="1753"/>
      <c r="S25" s="1753"/>
      <c r="T25" s="1753"/>
    </row>
    <row r="26" spans="1:20" ht="25.5" customHeight="1">
      <c r="A26" s="606"/>
      <c r="B26" s="1705" t="s">
        <v>250</v>
      </c>
      <c r="C26" s="1705"/>
      <c r="D26" s="1705"/>
      <c r="E26" s="1705"/>
      <c r="F26" s="1096"/>
      <c r="G26" s="1096"/>
      <c r="H26" s="1096"/>
      <c r="I26" s="1096"/>
      <c r="J26" s="1096"/>
      <c r="K26" s="1096"/>
      <c r="L26" s="683"/>
      <c r="M26" s="1706" t="str">
        <f>'Thong tin'!B7</f>
        <v>KT. CỤC TRƯỞNG</v>
      </c>
      <c r="N26" s="1706"/>
      <c r="O26" s="1706"/>
      <c r="P26" s="1706"/>
      <c r="Q26" s="1706"/>
      <c r="R26" s="1706"/>
      <c r="S26" s="1706"/>
      <c r="T26" s="1706"/>
    </row>
    <row r="27" spans="1:20" ht="22.5" customHeight="1">
      <c r="A27" s="611"/>
      <c r="B27" s="1709"/>
      <c r="C27" s="1709"/>
      <c r="D27" s="1709"/>
      <c r="E27" s="1709"/>
      <c r="F27" s="1099"/>
      <c r="G27" s="1099"/>
      <c r="H27" s="1099"/>
      <c r="I27" s="1099"/>
      <c r="J27" s="1099"/>
      <c r="K27" s="1099"/>
      <c r="L27" s="1099"/>
      <c r="M27" s="1706" t="str">
        <f>'Thong tin'!B8</f>
        <v>PHÓ CỤC TRƯỞNG</v>
      </c>
      <c r="N27" s="1706"/>
      <c r="O27" s="1706"/>
      <c r="P27" s="1706"/>
      <c r="Q27" s="1706"/>
      <c r="R27" s="1706"/>
      <c r="S27" s="1706"/>
      <c r="T27" s="1706"/>
    </row>
    <row r="28" spans="1:20" ht="16.5">
      <c r="A28" s="611"/>
      <c r="B28" s="1099"/>
      <c r="C28" s="1099"/>
      <c r="D28" s="1099"/>
      <c r="E28" s="1099"/>
      <c r="F28" s="1099"/>
      <c r="G28" s="1099"/>
      <c r="H28" s="1099"/>
      <c r="I28" s="1099"/>
      <c r="J28" s="1099"/>
      <c r="K28" s="1099"/>
      <c r="L28" s="1099"/>
      <c r="M28" s="1099"/>
      <c r="N28" s="1099"/>
      <c r="O28" s="1099"/>
      <c r="P28" s="1099"/>
      <c r="Q28" s="1099"/>
      <c r="R28" s="683"/>
      <c r="S28" s="683"/>
      <c r="T28" s="683"/>
    </row>
    <row r="29" spans="2:20" ht="16.5">
      <c r="B29" s="1783"/>
      <c r="C29" s="1783"/>
      <c r="D29" s="1783"/>
      <c r="E29" s="1783"/>
      <c r="F29" s="1783"/>
      <c r="G29" s="1146"/>
      <c r="H29" s="1146"/>
      <c r="I29" s="1146"/>
      <c r="J29" s="1146"/>
      <c r="K29" s="1146"/>
      <c r="L29" s="1146"/>
      <c r="M29" s="1146"/>
      <c r="N29" s="1783"/>
      <c r="O29" s="1783"/>
      <c r="P29" s="1783"/>
      <c r="Q29" s="1783"/>
      <c r="R29" s="1783"/>
      <c r="S29" s="1783"/>
      <c r="T29" s="683"/>
    </row>
    <row r="30" spans="2:20" ht="16.5">
      <c r="B30" s="683"/>
      <c r="C30" s="683"/>
      <c r="D30" s="683"/>
      <c r="E30" s="683"/>
      <c r="F30" s="683"/>
      <c r="G30" s="683"/>
      <c r="H30" s="683"/>
      <c r="I30" s="683"/>
      <c r="J30" s="683"/>
      <c r="K30" s="683"/>
      <c r="L30" s="683"/>
      <c r="M30" s="683"/>
      <c r="N30" s="683"/>
      <c r="O30" s="683"/>
      <c r="P30" s="683"/>
      <c r="Q30" s="683"/>
      <c r="R30" s="683"/>
      <c r="S30" s="683"/>
      <c r="T30" s="683"/>
    </row>
    <row r="31" spans="2:20" ht="16.5">
      <c r="B31" s="1636" t="str">
        <f>'Thong tin'!B5</f>
        <v>Trần Quốc Bảo</v>
      </c>
      <c r="C31" s="1636"/>
      <c r="D31" s="1636"/>
      <c r="E31" s="1636"/>
      <c r="F31" s="682"/>
      <c r="G31" s="682"/>
      <c r="H31" s="682"/>
      <c r="I31" s="683"/>
      <c r="J31" s="683"/>
      <c r="K31" s="683"/>
      <c r="L31" s="683"/>
      <c r="M31" s="1636" t="str">
        <f>'Thong tin'!B6</f>
        <v>Trần Nam</v>
      </c>
      <c r="N31" s="1636"/>
      <c r="O31" s="1636"/>
      <c r="P31" s="1636"/>
      <c r="Q31" s="1636"/>
      <c r="R31" s="1636"/>
      <c r="S31" s="1636"/>
      <c r="T31" s="1636"/>
    </row>
    <row r="32" spans="2:20" ht="18.75">
      <c r="B32" s="533"/>
      <c r="C32" s="533"/>
      <c r="D32" s="533"/>
      <c r="E32" s="533"/>
      <c r="F32" s="612"/>
      <c r="G32" s="612"/>
      <c r="H32" s="612"/>
      <c r="I32" s="578"/>
      <c r="J32" s="578"/>
      <c r="K32" s="578"/>
      <c r="L32" s="578"/>
      <c r="M32" s="531"/>
      <c r="N32" s="531"/>
      <c r="O32" s="531"/>
      <c r="P32" s="531"/>
      <c r="Q32" s="531"/>
      <c r="R32" s="531"/>
      <c r="S32" s="531"/>
      <c r="T32" s="531"/>
    </row>
    <row r="33" spans="2:20" ht="18.75">
      <c r="B33" s="533"/>
      <c r="C33" s="533"/>
      <c r="D33" s="533"/>
      <c r="E33" s="533"/>
      <c r="F33" s="612"/>
      <c r="G33" s="612"/>
      <c r="H33" s="612"/>
      <c r="I33" s="578"/>
      <c r="J33" s="578"/>
      <c r="K33" s="578"/>
      <c r="L33" s="578"/>
      <c r="M33" s="531"/>
      <c r="N33" s="531"/>
      <c r="O33" s="531"/>
      <c r="P33" s="531"/>
      <c r="Q33" s="531"/>
      <c r="R33" s="531"/>
      <c r="S33" s="531"/>
      <c r="T33" s="531"/>
    </row>
    <row r="34" s="633" customFormat="1" ht="15" hidden="1">
      <c r="A34" s="632" t="s">
        <v>226</v>
      </c>
    </row>
    <row r="35" spans="2:8" s="634" customFormat="1" ht="15" hidden="1">
      <c r="B35" s="635" t="s">
        <v>278</v>
      </c>
      <c r="C35" s="635"/>
      <c r="D35" s="635"/>
      <c r="E35" s="635"/>
      <c r="F35" s="635"/>
      <c r="G35" s="635"/>
      <c r="H35" s="635"/>
    </row>
    <row r="36" spans="2:8" s="636" customFormat="1" ht="15" hidden="1">
      <c r="B36" s="635" t="s">
        <v>279</v>
      </c>
      <c r="C36" s="583"/>
      <c r="D36" s="583"/>
      <c r="E36" s="583"/>
      <c r="F36" s="583"/>
      <c r="G36" s="583"/>
      <c r="H36" s="583"/>
    </row>
    <row r="37" ht="12.75" hidden="1"/>
    <row r="38" ht="12.75" hidden="1"/>
    <row r="39" ht="12.75" hidden="1"/>
    <row r="40" ht="12.75" hidden="1"/>
    <row r="41" ht="12.75" hidden="1"/>
  </sheetData>
  <sheetProtection/>
  <mergeCells count="42">
    <mergeCell ref="N7:P8"/>
    <mergeCell ref="B31:E31"/>
    <mergeCell ref="M31:T31"/>
    <mergeCell ref="B26:E26"/>
    <mergeCell ref="M26:T26"/>
    <mergeCell ref="B27:E27"/>
    <mergeCell ref="M27:T27"/>
    <mergeCell ref="B29:F29"/>
    <mergeCell ref="N29:S29"/>
    <mergeCell ref="A10:B10"/>
    <mergeCell ref="K5:T6"/>
    <mergeCell ref="D6:J6"/>
    <mergeCell ref="A11:B11"/>
    <mergeCell ref="B25:F25"/>
    <mergeCell ref="M25:T25"/>
    <mergeCell ref="D8:D9"/>
    <mergeCell ref="E8:E9"/>
    <mergeCell ref="F8:F9"/>
    <mergeCell ref="G8:G9"/>
    <mergeCell ref="H8:H9"/>
    <mergeCell ref="A5:B9"/>
    <mergeCell ref="C5:C9"/>
    <mergeCell ref="D5:J5"/>
    <mergeCell ref="I8:I9"/>
    <mergeCell ref="Q7:Q9"/>
    <mergeCell ref="R7:R9"/>
    <mergeCell ref="S7:S9"/>
    <mergeCell ref="T7:T9"/>
    <mergeCell ref="A2:D2"/>
    <mergeCell ref="E2:N2"/>
    <mergeCell ref="P2:T2"/>
    <mergeCell ref="D7:E7"/>
    <mergeCell ref="F7:G7"/>
    <mergeCell ref="H7:I7"/>
    <mergeCell ref="J7:J9"/>
    <mergeCell ref="K7:M8"/>
    <mergeCell ref="E3:N3"/>
    <mergeCell ref="A3:D3"/>
    <mergeCell ref="P3:T3"/>
    <mergeCell ref="P4:T4"/>
    <mergeCell ref="E1:N1"/>
    <mergeCell ref="P1:T1"/>
  </mergeCells>
  <printOptions horizontalCentered="1"/>
  <pageMargins left="0.4" right="0.21" top="0.27" bottom="0.15" header="0.2" footer="0.18"/>
  <pageSetup horizontalDpi="600" verticalDpi="600" orientation="landscape" paperSize="9" scale="95" r:id="rId2"/>
  <drawing r:id="rId1"/>
</worksheet>
</file>

<file path=xl/worksheets/sheet31.xml><?xml version="1.0" encoding="utf-8"?>
<worksheet xmlns="http://schemas.openxmlformats.org/spreadsheetml/2006/main" xmlns:r="http://schemas.openxmlformats.org/officeDocument/2006/relationships">
  <sheetPr>
    <tabColor indexed="39"/>
  </sheetPr>
  <dimension ref="A1:P38"/>
  <sheetViews>
    <sheetView view="pageBreakPreview" zoomScaleSheetLayoutView="100" zoomScalePageLayoutView="0" workbookViewId="0" topLeftCell="A10">
      <selection activeCell="I37" sqref="I37:L37"/>
    </sheetView>
  </sheetViews>
  <sheetFormatPr defaultColWidth="9.00390625" defaultRowHeight="15.75"/>
  <cols>
    <col min="1" max="1" width="4.75390625" style="638" customWidth="1"/>
    <col min="2" max="2" width="26.125" style="638" customWidth="1"/>
    <col min="3" max="3" width="11.625" style="637" customWidth="1"/>
    <col min="4" max="7" width="8.00390625" style="637" customWidth="1"/>
    <col min="8" max="9" width="12.125" style="637" customWidth="1"/>
    <col min="10" max="10" width="11.125" style="637" customWidth="1"/>
    <col min="11" max="11" width="15.25390625" style="637" customWidth="1"/>
    <col min="12" max="12" width="11.125" style="637" customWidth="1"/>
    <col min="13" max="16384" width="9.00390625" style="637" customWidth="1"/>
  </cols>
  <sheetData>
    <row r="1" spans="1:12" ht="21" customHeight="1">
      <c r="A1" s="1656" t="s">
        <v>280</v>
      </c>
      <c r="B1" s="1656"/>
      <c r="C1" s="536"/>
      <c r="D1" s="1692" t="s">
        <v>667</v>
      </c>
      <c r="E1" s="1692"/>
      <c r="F1" s="1692"/>
      <c r="G1" s="1692"/>
      <c r="H1" s="1692"/>
      <c r="I1" s="1692"/>
      <c r="J1" s="1787" t="s">
        <v>668</v>
      </c>
      <c r="K1" s="1788"/>
      <c r="L1" s="1788"/>
    </row>
    <row r="2" spans="1:12" ht="15.75" customHeight="1">
      <c r="A2" s="1649" t="s">
        <v>342</v>
      </c>
      <c r="B2" s="1650"/>
      <c r="C2" s="1650"/>
      <c r="D2" s="1692"/>
      <c r="E2" s="1692"/>
      <c r="F2" s="1692"/>
      <c r="G2" s="1692"/>
      <c r="H2" s="1692"/>
      <c r="I2" s="1692"/>
      <c r="J2" s="1786" t="str">
        <f>'Thong tin'!B4</f>
        <v>Cục THADS tỉnh Bình Thuận</v>
      </c>
      <c r="K2" s="1786"/>
      <c r="L2" s="1786"/>
    </row>
    <row r="3" spans="1:12" ht="18.75" customHeight="1">
      <c r="A3" s="675" t="s">
        <v>673</v>
      </c>
      <c r="B3" s="518"/>
      <c r="C3" s="518"/>
      <c r="D3" s="1712" t="str">
        <f>'Thong tin'!B3</f>
        <v>10 tháng / năm 2016</v>
      </c>
      <c r="E3" s="1712"/>
      <c r="F3" s="1712"/>
      <c r="G3" s="1712"/>
      <c r="H3" s="1712"/>
      <c r="I3" s="1712"/>
      <c r="J3" s="1789" t="s">
        <v>669</v>
      </c>
      <c r="K3" s="1790"/>
      <c r="L3" s="1790"/>
    </row>
    <row r="4" spans="1:12" ht="16.5" customHeight="1">
      <c r="A4" s="1654" t="s">
        <v>400</v>
      </c>
      <c r="B4" s="1654"/>
      <c r="C4" s="1654"/>
      <c r="D4" s="688"/>
      <c r="E4" s="688"/>
      <c r="F4" s="688"/>
      <c r="G4" s="688"/>
      <c r="H4" s="688"/>
      <c r="I4" s="688"/>
      <c r="J4" s="1791" t="s">
        <v>410</v>
      </c>
      <c r="K4" s="1792"/>
      <c r="L4" s="1792"/>
    </row>
    <row r="5" spans="3:12" ht="15.75" customHeight="1">
      <c r="C5" s="696"/>
      <c r="D5" s="696"/>
      <c r="H5" s="697"/>
      <c r="I5" s="697"/>
      <c r="J5" s="1795" t="s">
        <v>281</v>
      </c>
      <c r="K5" s="1795"/>
      <c r="L5" s="1795"/>
    </row>
    <row r="6" spans="2:12" ht="0.75" customHeight="1">
      <c r="B6" s="699"/>
      <c r="C6" s="696"/>
      <c r="D6" s="696"/>
      <c r="E6" s="700"/>
      <c r="F6" s="700"/>
      <c r="G6" s="700"/>
      <c r="H6" s="697"/>
      <c r="I6" s="697"/>
      <c r="J6" s="698"/>
      <c r="K6" s="698"/>
      <c r="L6" s="698"/>
    </row>
    <row r="7" spans="3:12" ht="0.75" customHeight="1">
      <c r="C7" s="639"/>
      <c r="D7" s="639"/>
      <c r="H7" s="640"/>
      <c r="I7" s="640"/>
      <c r="J7" s="695"/>
      <c r="K7" s="695"/>
      <c r="L7" s="695"/>
    </row>
    <row r="8" spans="1:12" ht="22.5" customHeight="1">
      <c r="A8" s="1796" t="s">
        <v>72</v>
      </c>
      <c r="B8" s="1796"/>
      <c r="C8" s="1747" t="s">
        <v>38</v>
      </c>
      <c r="D8" s="1747" t="s">
        <v>282</v>
      </c>
      <c r="E8" s="1747"/>
      <c r="F8" s="1747"/>
      <c r="G8" s="1747"/>
      <c r="H8" s="1747" t="s">
        <v>283</v>
      </c>
      <c r="I8" s="1747"/>
      <c r="J8" s="1747" t="s">
        <v>284</v>
      </c>
      <c r="K8" s="1747"/>
      <c r="L8" s="1747"/>
    </row>
    <row r="9" spans="1:12" ht="54.75" customHeight="1">
      <c r="A9" s="1796"/>
      <c r="B9" s="1796"/>
      <c r="C9" s="1747"/>
      <c r="D9" s="619" t="s">
        <v>285</v>
      </c>
      <c r="E9" s="619" t="s">
        <v>286</v>
      </c>
      <c r="F9" s="619" t="s">
        <v>433</v>
      </c>
      <c r="G9" s="619" t="s">
        <v>287</v>
      </c>
      <c r="H9" s="619" t="s">
        <v>288</v>
      </c>
      <c r="I9" s="619" t="s">
        <v>289</v>
      </c>
      <c r="J9" s="619" t="s">
        <v>290</v>
      </c>
      <c r="K9" s="619" t="s">
        <v>291</v>
      </c>
      <c r="L9" s="619" t="s">
        <v>292</v>
      </c>
    </row>
    <row r="10" spans="1:12" s="641" customFormat="1" ht="16.5" customHeight="1">
      <c r="A10" s="1793" t="s">
        <v>6</v>
      </c>
      <c r="B10" s="1793"/>
      <c r="C10" s="623">
        <v>1</v>
      </c>
      <c r="D10" s="623">
        <v>2</v>
      </c>
      <c r="E10" s="623">
        <v>3</v>
      </c>
      <c r="F10" s="623">
        <v>4</v>
      </c>
      <c r="G10" s="623">
        <v>5</v>
      </c>
      <c r="H10" s="623">
        <v>6</v>
      </c>
      <c r="I10" s="623">
        <v>7</v>
      </c>
      <c r="J10" s="623">
        <v>8</v>
      </c>
      <c r="K10" s="623">
        <v>9</v>
      </c>
      <c r="L10" s="623">
        <v>10</v>
      </c>
    </row>
    <row r="11" spans="1:12" s="641" customFormat="1" ht="21" customHeight="1">
      <c r="A11" s="1794" t="s">
        <v>277</v>
      </c>
      <c r="B11" s="1794"/>
      <c r="C11" s="792">
        <f>C12+C13</f>
        <v>7</v>
      </c>
      <c r="D11" s="792">
        <f aca="true" t="shared" si="0" ref="D11:K11">D12+D13</f>
        <v>0</v>
      </c>
      <c r="E11" s="792">
        <f t="shared" si="0"/>
        <v>6</v>
      </c>
      <c r="F11" s="792">
        <f t="shared" si="0"/>
        <v>0</v>
      </c>
      <c r="G11" s="792">
        <f t="shared" si="0"/>
        <v>1</v>
      </c>
      <c r="H11" s="792">
        <f t="shared" si="0"/>
        <v>7</v>
      </c>
      <c r="I11" s="792">
        <f t="shared" si="0"/>
        <v>0</v>
      </c>
      <c r="J11" s="792">
        <f t="shared" si="0"/>
        <v>7</v>
      </c>
      <c r="K11" s="792">
        <f t="shared" si="0"/>
        <v>0</v>
      </c>
      <c r="L11" s="792">
        <f>L13+L12</f>
        <v>0</v>
      </c>
    </row>
    <row r="12" spans="1:12" s="641" customFormat="1" ht="21" customHeight="1">
      <c r="A12" s="206" t="s">
        <v>0</v>
      </c>
      <c r="B12" s="767" t="s">
        <v>293</v>
      </c>
      <c r="C12" s="796">
        <f>D12+E12+F12+G12</f>
        <v>0</v>
      </c>
      <c r="D12" s="799">
        <v>0</v>
      </c>
      <c r="E12" s="799">
        <v>0</v>
      </c>
      <c r="F12" s="799">
        <v>0</v>
      </c>
      <c r="G12" s="799">
        <v>0</v>
      </c>
      <c r="H12" s="799">
        <v>0</v>
      </c>
      <c r="I12" s="799">
        <v>0</v>
      </c>
      <c r="J12" s="800">
        <v>0</v>
      </c>
      <c r="K12" s="800">
        <v>0</v>
      </c>
      <c r="L12" s="800">
        <v>0</v>
      </c>
    </row>
    <row r="13" spans="1:12" s="641" customFormat="1" ht="20.25" customHeight="1">
      <c r="A13" s="801" t="s">
        <v>1</v>
      </c>
      <c r="B13" s="772" t="s">
        <v>19</v>
      </c>
      <c r="C13" s="796">
        <f>C14+C15+C16+C17+C18+C19+C20+C21+C22+C23</f>
        <v>7</v>
      </c>
      <c r="D13" s="796">
        <f aca="true" t="shared" si="1" ref="D13:L13">D14+D15+D16+D17+D18+D19+D20+D21+D22+D23</f>
        <v>0</v>
      </c>
      <c r="E13" s="796">
        <f t="shared" si="1"/>
        <v>6</v>
      </c>
      <c r="F13" s="796">
        <f t="shared" si="1"/>
        <v>0</v>
      </c>
      <c r="G13" s="796">
        <f t="shared" si="1"/>
        <v>1</v>
      </c>
      <c r="H13" s="796">
        <f t="shared" si="1"/>
        <v>7</v>
      </c>
      <c r="I13" s="796">
        <f t="shared" si="1"/>
        <v>0</v>
      </c>
      <c r="J13" s="796">
        <f t="shared" si="1"/>
        <v>7</v>
      </c>
      <c r="K13" s="796">
        <f t="shared" si="1"/>
        <v>0</v>
      </c>
      <c r="L13" s="796">
        <f t="shared" si="1"/>
        <v>0</v>
      </c>
    </row>
    <row r="14" spans="1:12" s="641" customFormat="1" ht="18.75" customHeight="1">
      <c r="A14" s="802" t="s">
        <v>52</v>
      </c>
      <c r="B14" s="793" t="s">
        <v>748</v>
      </c>
      <c r="C14" s="792">
        <f>D14+E14+F14+G14</f>
        <v>0</v>
      </c>
      <c r="D14" s="1115">
        <v>0</v>
      </c>
      <c r="E14" s="1115">
        <v>0</v>
      </c>
      <c r="F14" s="1115">
        <v>0</v>
      </c>
      <c r="G14" s="1115">
        <v>0</v>
      </c>
      <c r="H14" s="1115">
        <v>0</v>
      </c>
      <c r="I14" s="1115">
        <v>0</v>
      </c>
      <c r="J14" s="1147">
        <v>0</v>
      </c>
      <c r="K14" s="1148">
        <v>0</v>
      </c>
      <c r="L14" s="1149">
        <v>0</v>
      </c>
    </row>
    <row r="15" spans="1:12" s="641" customFormat="1" ht="18.75" customHeight="1">
      <c r="A15" s="802" t="s">
        <v>53</v>
      </c>
      <c r="B15" s="793" t="s">
        <v>749</v>
      </c>
      <c r="C15" s="792">
        <f aca="true" t="shared" si="2" ref="C15:C23">D15+E15+F15+G15</f>
        <v>2</v>
      </c>
      <c r="D15" s="1115">
        <v>0</v>
      </c>
      <c r="E15" s="1115">
        <v>1</v>
      </c>
      <c r="F15" s="1115">
        <v>0</v>
      </c>
      <c r="G15" s="1115">
        <v>1</v>
      </c>
      <c r="H15" s="1115">
        <v>2</v>
      </c>
      <c r="I15" s="1115">
        <v>0</v>
      </c>
      <c r="J15" s="1147">
        <v>2</v>
      </c>
      <c r="K15" s="1148">
        <v>0</v>
      </c>
      <c r="L15" s="1149">
        <v>0</v>
      </c>
    </row>
    <row r="16" spans="1:12" s="641" customFormat="1" ht="19.5" customHeight="1">
      <c r="A16" s="802" t="s">
        <v>58</v>
      </c>
      <c r="B16" s="793" t="s">
        <v>750</v>
      </c>
      <c r="C16" s="792">
        <f t="shared" si="2"/>
        <v>0</v>
      </c>
      <c r="D16" s="1115">
        <v>0</v>
      </c>
      <c r="E16" s="1115">
        <v>0</v>
      </c>
      <c r="F16" s="1115">
        <v>0</v>
      </c>
      <c r="G16" s="1115">
        <v>0</v>
      </c>
      <c r="H16" s="1115">
        <v>0</v>
      </c>
      <c r="I16" s="1115">
        <v>0</v>
      </c>
      <c r="J16" s="1147">
        <v>0</v>
      </c>
      <c r="K16" s="1148">
        <v>0</v>
      </c>
      <c r="L16" s="1149">
        <v>0</v>
      </c>
    </row>
    <row r="17" spans="1:12" s="641" customFormat="1" ht="20.25" customHeight="1">
      <c r="A17" s="802" t="s">
        <v>73</v>
      </c>
      <c r="B17" s="793" t="s">
        <v>751</v>
      </c>
      <c r="C17" s="792">
        <f t="shared" si="2"/>
        <v>1</v>
      </c>
      <c r="D17" s="1115">
        <v>0</v>
      </c>
      <c r="E17" s="1115">
        <v>1</v>
      </c>
      <c r="F17" s="1115">
        <v>0</v>
      </c>
      <c r="G17" s="1115">
        <v>0</v>
      </c>
      <c r="H17" s="1115">
        <v>1</v>
      </c>
      <c r="I17" s="1115">
        <v>0</v>
      </c>
      <c r="J17" s="1147">
        <v>1</v>
      </c>
      <c r="K17" s="1148">
        <v>0</v>
      </c>
      <c r="L17" s="1149">
        <v>0</v>
      </c>
    </row>
    <row r="18" spans="1:12" s="641" customFormat="1" ht="19.5" customHeight="1">
      <c r="A18" s="802" t="s">
        <v>74</v>
      </c>
      <c r="B18" s="793" t="s">
        <v>752</v>
      </c>
      <c r="C18" s="792">
        <f t="shared" si="2"/>
        <v>2</v>
      </c>
      <c r="D18" s="1115">
        <v>0</v>
      </c>
      <c r="E18" s="1115">
        <v>2</v>
      </c>
      <c r="F18" s="1115">
        <v>0</v>
      </c>
      <c r="G18" s="1115">
        <v>0</v>
      </c>
      <c r="H18" s="1115">
        <v>2</v>
      </c>
      <c r="I18" s="1115">
        <v>0</v>
      </c>
      <c r="J18" s="1147">
        <v>2</v>
      </c>
      <c r="K18" s="1147">
        <v>0</v>
      </c>
      <c r="L18" s="1149">
        <v>0</v>
      </c>
    </row>
    <row r="19" spans="1:12" s="641" customFormat="1" ht="18.75" customHeight="1">
      <c r="A19" s="802" t="s">
        <v>75</v>
      </c>
      <c r="B19" s="793" t="s">
        <v>753</v>
      </c>
      <c r="C19" s="792">
        <f t="shared" si="2"/>
        <v>0</v>
      </c>
      <c r="D19" s="1115">
        <v>0</v>
      </c>
      <c r="E19" s="1115">
        <v>0</v>
      </c>
      <c r="F19" s="1115">
        <v>0</v>
      </c>
      <c r="G19" s="1115">
        <v>0</v>
      </c>
      <c r="H19" s="1115">
        <v>0</v>
      </c>
      <c r="I19" s="1115">
        <v>0</v>
      </c>
      <c r="J19" s="1147">
        <v>0</v>
      </c>
      <c r="K19" s="1148">
        <v>0</v>
      </c>
      <c r="L19" s="1149">
        <v>0</v>
      </c>
    </row>
    <row r="20" spans="1:12" s="641" customFormat="1" ht="19.5" customHeight="1">
      <c r="A20" s="802" t="s">
        <v>76</v>
      </c>
      <c r="B20" s="793" t="s">
        <v>754</v>
      </c>
      <c r="C20" s="792">
        <f t="shared" si="2"/>
        <v>0</v>
      </c>
      <c r="D20" s="1115">
        <v>0</v>
      </c>
      <c r="E20" s="1115">
        <v>0</v>
      </c>
      <c r="F20" s="1115">
        <v>0</v>
      </c>
      <c r="G20" s="1115">
        <v>0</v>
      </c>
      <c r="H20" s="1115">
        <v>0</v>
      </c>
      <c r="I20" s="1115">
        <v>0</v>
      </c>
      <c r="J20" s="1148">
        <v>0</v>
      </c>
      <c r="K20" s="1148">
        <v>0</v>
      </c>
      <c r="L20" s="1149">
        <v>0</v>
      </c>
    </row>
    <row r="21" spans="1:12" s="641" customFormat="1" ht="19.5" customHeight="1">
      <c r="A21" s="802" t="s">
        <v>77</v>
      </c>
      <c r="B21" s="793" t="s">
        <v>755</v>
      </c>
      <c r="C21" s="792">
        <f t="shared" si="2"/>
        <v>1</v>
      </c>
      <c r="D21" s="1115">
        <v>0</v>
      </c>
      <c r="E21" s="1115">
        <v>1</v>
      </c>
      <c r="F21" s="1115">
        <v>0</v>
      </c>
      <c r="G21" s="1115">
        <v>0</v>
      </c>
      <c r="H21" s="1115">
        <v>1</v>
      </c>
      <c r="I21" s="1115">
        <v>0</v>
      </c>
      <c r="J21" s="1148">
        <v>1</v>
      </c>
      <c r="K21" s="1147">
        <v>0</v>
      </c>
      <c r="L21" s="1149">
        <v>0</v>
      </c>
    </row>
    <row r="22" spans="1:12" s="641" customFormat="1" ht="19.5" customHeight="1">
      <c r="A22" s="802" t="s">
        <v>78</v>
      </c>
      <c r="B22" s="793" t="s">
        <v>756</v>
      </c>
      <c r="C22" s="792">
        <f t="shared" si="2"/>
        <v>0</v>
      </c>
      <c r="D22" s="1115">
        <v>0</v>
      </c>
      <c r="E22" s="1115">
        <v>0</v>
      </c>
      <c r="F22" s="1115">
        <v>0</v>
      </c>
      <c r="G22" s="1115">
        <v>0</v>
      </c>
      <c r="H22" s="1115">
        <v>0</v>
      </c>
      <c r="I22" s="1115">
        <v>0</v>
      </c>
      <c r="J22" s="1149">
        <v>0</v>
      </c>
      <c r="K22" s="1149">
        <v>0</v>
      </c>
      <c r="L22" s="1149">
        <v>0</v>
      </c>
    </row>
    <row r="23" spans="1:12" s="641" customFormat="1" ht="21.75" customHeight="1" thickBot="1">
      <c r="A23" s="803" t="s">
        <v>101</v>
      </c>
      <c r="B23" s="1069" t="s">
        <v>757</v>
      </c>
      <c r="C23" s="794">
        <f t="shared" si="2"/>
        <v>1</v>
      </c>
      <c r="D23" s="1122">
        <v>0</v>
      </c>
      <c r="E23" s="1122">
        <v>1</v>
      </c>
      <c r="F23" s="1122">
        <v>0</v>
      </c>
      <c r="G23" s="1122">
        <v>0</v>
      </c>
      <c r="H23" s="1122">
        <v>1</v>
      </c>
      <c r="I23" s="1122">
        <v>0</v>
      </c>
      <c r="J23" s="795">
        <v>1</v>
      </c>
      <c r="K23" s="1150">
        <v>0</v>
      </c>
      <c r="L23" s="1150">
        <v>0</v>
      </c>
    </row>
    <row r="24" ht="15" customHeight="1" thickTop="1"/>
    <row r="25" spans="1:12" ht="18" customHeight="1">
      <c r="A25" s="1752"/>
      <c r="B25" s="1752"/>
      <c r="C25" s="1752"/>
      <c r="D25" s="1752"/>
      <c r="E25" s="1132"/>
      <c r="G25" s="1124"/>
      <c r="H25" s="1124"/>
      <c r="I25" s="1753" t="str">
        <f>'Thong tin'!B9</f>
        <v>Bình Thuận, ngày 04 tháng 8 năm 2016</v>
      </c>
      <c r="J25" s="1753"/>
      <c r="K25" s="1753"/>
      <c r="L25" s="1753"/>
    </row>
    <row r="26" spans="1:16" ht="18" customHeight="1">
      <c r="A26" s="1705" t="s">
        <v>250</v>
      </c>
      <c r="B26" s="1705"/>
      <c r="C26" s="1705"/>
      <c r="D26" s="1705"/>
      <c r="E26" s="1096"/>
      <c r="G26" s="1096"/>
      <c r="H26" s="1096"/>
      <c r="I26" s="1706" t="str">
        <f>'Thong tin'!B7</f>
        <v>KT. CỤC TRƯỞNG</v>
      </c>
      <c r="J26" s="1706"/>
      <c r="K26" s="1706"/>
      <c r="L26" s="1706"/>
      <c r="P26" s="643"/>
    </row>
    <row r="27" spans="1:12" ht="18" customHeight="1">
      <c r="A27" s="1709"/>
      <c r="B27" s="1709"/>
      <c r="C27" s="1709"/>
      <c r="D27" s="1709"/>
      <c r="E27" s="683"/>
      <c r="G27" s="1096"/>
      <c r="H27" s="1096"/>
      <c r="I27" s="1706" t="str">
        <f>'Thong tin'!B8</f>
        <v>PHÓ CỤC TRƯỞNG</v>
      </c>
      <c r="J27" s="1706"/>
      <c r="K27" s="1706"/>
      <c r="L27" s="1706"/>
    </row>
    <row r="28" spans="1:12" ht="18" customHeight="1">
      <c r="A28" s="1100"/>
      <c r="B28" s="1100"/>
      <c r="C28" s="683"/>
      <c r="D28" s="683"/>
      <c r="E28" s="683"/>
      <c r="F28" s="683"/>
      <c r="G28" s="683"/>
      <c r="H28" s="683"/>
      <c r="I28" s="683"/>
      <c r="J28" s="683"/>
      <c r="K28" s="683"/>
      <c r="L28" s="683"/>
    </row>
    <row r="29" spans="1:12" ht="16.5">
      <c r="A29" s="1100"/>
      <c r="B29" s="1710"/>
      <c r="C29" s="1710"/>
      <c r="D29" s="683"/>
      <c r="E29" s="683"/>
      <c r="F29" s="683"/>
      <c r="G29" s="683"/>
      <c r="H29" s="1710"/>
      <c r="I29" s="1710"/>
      <c r="J29" s="1710"/>
      <c r="K29" s="683"/>
      <c r="L29" s="683"/>
    </row>
    <row r="30" spans="1:12" ht="13.5" customHeight="1">
      <c r="A30" s="1100"/>
      <c r="B30" s="1100"/>
      <c r="C30" s="683"/>
      <c r="D30" s="683"/>
      <c r="E30" s="683"/>
      <c r="F30" s="683"/>
      <c r="G30" s="683"/>
      <c r="H30" s="683"/>
      <c r="I30" s="683"/>
      <c r="J30" s="683"/>
      <c r="K30" s="683"/>
      <c r="L30" s="683"/>
    </row>
    <row r="31" spans="1:12" ht="13.5" customHeight="1" hidden="1">
      <c r="A31" s="1100"/>
      <c r="B31" s="1100"/>
      <c r="C31" s="683"/>
      <c r="D31" s="683"/>
      <c r="E31" s="683"/>
      <c r="F31" s="683"/>
      <c r="G31" s="683"/>
      <c r="H31" s="683"/>
      <c r="I31" s="683"/>
      <c r="J31" s="683"/>
      <c r="K31" s="683"/>
      <c r="L31" s="683"/>
    </row>
    <row r="32" spans="1:12" s="579" customFormat="1" ht="17.25" hidden="1">
      <c r="A32" s="1151" t="s">
        <v>294</v>
      </c>
      <c r="B32" s="1098"/>
      <c r="C32" s="1099"/>
      <c r="D32" s="1099"/>
      <c r="E32" s="1099"/>
      <c r="F32" s="1099"/>
      <c r="G32" s="1099"/>
      <c r="H32" s="1099"/>
      <c r="I32" s="1099"/>
      <c r="J32" s="1099"/>
      <c r="K32" s="1099"/>
      <c r="L32" s="1099"/>
    </row>
    <row r="33" spans="1:12" s="616" customFormat="1" ht="16.5" hidden="1">
      <c r="A33" s="904"/>
      <c r="B33" s="1152" t="s">
        <v>295</v>
      </c>
      <c r="C33" s="1152"/>
      <c r="D33" s="1152"/>
      <c r="E33" s="1141"/>
      <c r="F33" s="1141"/>
      <c r="G33" s="1141"/>
      <c r="H33" s="1141"/>
      <c r="I33" s="1141"/>
      <c r="J33" s="1141"/>
      <c r="K33" s="1141"/>
      <c r="L33" s="1141"/>
    </row>
    <row r="34" spans="1:12" s="616" customFormat="1" ht="16.5" hidden="1">
      <c r="A34" s="904"/>
      <c r="B34" s="1152" t="s">
        <v>296</v>
      </c>
      <c r="C34" s="1152"/>
      <c r="D34" s="1152"/>
      <c r="E34" s="1152"/>
      <c r="F34" s="1141"/>
      <c r="G34" s="1141"/>
      <c r="H34" s="1141"/>
      <c r="I34" s="1141"/>
      <c r="J34" s="1141"/>
      <c r="K34" s="1141"/>
      <c r="L34" s="1141"/>
    </row>
    <row r="35" spans="1:12" s="616" customFormat="1" ht="16.5" hidden="1">
      <c r="A35" s="904"/>
      <c r="B35" s="1141" t="s">
        <v>297</v>
      </c>
      <c r="C35" s="1141"/>
      <c r="D35" s="1141"/>
      <c r="E35" s="1141"/>
      <c r="F35" s="1141"/>
      <c r="G35" s="1141"/>
      <c r="H35" s="1141"/>
      <c r="I35" s="1141"/>
      <c r="J35" s="1141"/>
      <c r="K35" s="1141"/>
      <c r="L35" s="1141"/>
    </row>
    <row r="36" spans="1:12" ht="16.5">
      <c r="A36" s="1100"/>
      <c r="B36" s="1100"/>
      <c r="C36" s="683"/>
      <c r="D36" s="683"/>
      <c r="E36" s="683"/>
      <c r="F36" s="683"/>
      <c r="G36" s="683"/>
      <c r="H36" s="683"/>
      <c r="I36" s="683"/>
      <c r="J36" s="683"/>
      <c r="K36" s="683"/>
      <c r="L36" s="683"/>
    </row>
    <row r="37" spans="1:12" ht="16.5">
      <c r="A37" s="1636" t="str">
        <f>'Thong tin'!B5</f>
        <v>Trần Quốc Bảo</v>
      </c>
      <c r="B37" s="1636"/>
      <c r="C37" s="1636"/>
      <c r="D37" s="1636"/>
      <c r="E37" s="682"/>
      <c r="G37" s="682"/>
      <c r="H37" s="682"/>
      <c r="I37" s="1636" t="str">
        <f>'Thong tin'!B6</f>
        <v>Trần Nam</v>
      </c>
      <c r="J37" s="1636"/>
      <c r="K37" s="1636"/>
      <c r="L37" s="1636"/>
    </row>
    <row r="38" spans="1:12" ht="18">
      <c r="A38" s="644"/>
      <c r="B38" s="644"/>
      <c r="C38" s="642"/>
      <c r="D38" s="642"/>
      <c r="E38" s="642"/>
      <c r="F38" s="642"/>
      <c r="G38" s="642"/>
      <c r="H38" s="642"/>
      <c r="I38" s="642"/>
      <c r="J38" s="642"/>
      <c r="K38" s="642"/>
      <c r="L38" s="642"/>
    </row>
  </sheetData>
  <sheetProtection/>
  <mergeCells count="27">
    <mergeCell ref="A37:D37"/>
    <mergeCell ref="A26:D26"/>
    <mergeCell ref="A27:D27"/>
    <mergeCell ref="B29:C29"/>
    <mergeCell ref="A10:B10"/>
    <mergeCell ref="A11:B11"/>
    <mergeCell ref="A25:D25"/>
    <mergeCell ref="J5:L5"/>
    <mergeCell ref="A8:B9"/>
    <mergeCell ref="C8:C9"/>
    <mergeCell ref="D8:G8"/>
    <mergeCell ref="H8:I8"/>
    <mergeCell ref="I25:L25"/>
    <mergeCell ref="A4:C4"/>
    <mergeCell ref="J8:L8"/>
    <mergeCell ref="J2:L2"/>
    <mergeCell ref="D3:I3"/>
    <mergeCell ref="D1:I2"/>
    <mergeCell ref="J1:L1"/>
    <mergeCell ref="A2:C2"/>
    <mergeCell ref="J3:L3"/>
    <mergeCell ref="A1:B1"/>
    <mergeCell ref="J4:L4"/>
    <mergeCell ref="I26:L26"/>
    <mergeCell ref="I27:L27"/>
    <mergeCell ref="I37:L37"/>
    <mergeCell ref="H29:J29"/>
  </mergeCells>
  <printOptions horizontalCentered="1"/>
  <pageMargins left="0.36" right="0.27" top="0.29" bottom="0.25" header="0.1" footer="0.29"/>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indexed="49"/>
  </sheetPr>
  <dimension ref="A1:M31"/>
  <sheetViews>
    <sheetView view="pageBreakPreview" zoomScaleSheetLayoutView="100" zoomScalePageLayoutView="0" workbookViewId="0" topLeftCell="A13">
      <selection activeCell="D16" sqref="D16"/>
    </sheetView>
  </sheetViews>
  <sheetFormatPr defaultColWidth="9.00390625" defaultRowHeight="15.75"/>
  <cols>
    <col min="1" max="1" width="3.875" style="637" customWidth="1"/>
    <col min="2" max="2" width="20.875" style="637" customWidth="1"/>
    <col min="3" max="3" width="11.875" style="637" customWidth="1"/>
    <col min="4" max="7" width="8.875" style="637" customWidth="1"/>
    <col min="8" max="8" width="10.125" style="637" customWidth="1"/>
    <col min="9" max="10" width="10.625" style="637" customWidth="1"/>
    <col min="11" max="11" width="12.50390625" style="637" customWidth="1"/>
    <col min="12" max="12" width="8.875" style="637" customWidth="1"/>
    <col min="13" max="13" width="10.625" style="637" customWidth="1"/>
    <col min="14" max="16384" width="9.00390625" style="637" customWidth="1"/>
  </cols>
  <sheetData>
    <row r="1" spans="1:13" ht="24" customHeight="1">
      <c r="A1" s="1801" t="s">
        <v>298</v>
      </c>
      <c r="B1" s="1801"/>
      <c r="C1" s="1801"/>
      <c r="D1" s="1692" t="s">
        <v>670</v>
      </c>
      <c r="E1" s="1692"/>
      <c r="F1" s="1692"/>
      <c r="G1" s="1692"/>
      <c r="H1" s="1692"/>
      <c r="I1" s="1692"/>
      <c r="K1" s="689" t="s">
        <v>666</v>
      </c>
      <c r="L1" s="645"/>
      <c r="M1" s="645"/>
    </row>
    <row r="2" spans="1:13" ht="15.75" customHeight="1">
      <c r="A2" s="706" t="s">
        <v>342</v>
      </c>
      <c r="B2" s="707"/>
      <c r="C2" s="707"/>
      <c r="D2" s="1712" t="str">
        <f>'Thong tin'!B3</f>
        <v>10 tháng / năm 2016</v>
      </c>
      <c r="E2" s="1712"/>
      <c r="F2" s="1712"/>
      <c r="G2" s="1712"/>
      <c r="H2" s="1712"/>
      <c r="I2" s="1712"/>
      <c r="K2" s="1804" t="str">
        <f>'Thong tin'!B4</f>
        <v>Cục THADS tỉnh Bình Thuận</v>
      </c>
      <c r="L2" s="1804"/>
      <c r="M2" s="1804"/>
    </row>
    <row r="3" spans="1:13" ht="18.75" customHeight="1">
      <c r="A3" s="708" t="s">
        <v>343</v>
      </c>
      <c r="B3" s="706"/>
      <c r="C3" s="706"/>
      <c r="D3" s="557"/>
      <c r="E3" s="557"/>
      <c r="F3" s="557"/>
      <c r="G3" s="557"/>
      <c r="H3" s="557"/>
      <c r="I3" s="557"/>
      <c r="K3" s="561" t="s">
        <v>466</v>
      </c>
      <c r="L3" s="561"/>
      <c r="M3" s="561"/>
    </row>
    <row r="4" spans="1:13" ht="15.75" customHeight="1">
      <c r="A4" s="1802" t="s">
        <v>677</v>
      </c>
      <c r="B4" s="1802"/>
      <c r="C4" s="1802"/>
      <c r="D4" s="1803"/>
      <c r="E4" s="1803"/>
      <c r="F4" s="1803"/>
      <c r="G4" s="1803"/>
      <c r="H4" s="1803"/>
      <c r="I4" s="1803"/>
      <c r="K4" s="645" t="s">
        <v>401</v>
      </c>
      <c r="L4" s="645"/>
      <c r="M4" s="645"/>
    </row>
    <row r="5" spans="1:13" ht="15.75">
      <c r="A5" s="1809"/>
      <c r="B5" s="1809"/>
      <c r="C5" s="556"/>
      <c r="I5" s="646"/>
      <c r="J5" s="1810" t="s">
        <v>437</v>
      </c>
      <c r="K5" s="1810"/>
      <c r="L5" s="1810"/>
      <c r="M5" s="1810"/>
    </row>
    <row r="6" spans="1:13" ht="18.75" customHeight="1">
      <c r="A6" s="1718" t="s">
        <v>72</v>
      </c>
      <c r="B6" s="1719"/>
      <c r="C6" s="1754" t="s">
        <v>299</v>
      </c>
      <c r="D6" s="1737" t="s">
        <v>300</v>
      </c>
      <c r="E6" s="1808"/>
      <c r="F6" s="1808"/>
      <c r="G6" s="1757"/>
      <c r="H6" s="1737" t="s">
        <v>301</v>
      </c>
      <c r="I6" s="1808"/>
      <c r="J6" s="1808"/>
      <c r="K6" s="1808"/>
      <c r="L6" s="1808"/>
      <c r="M6" s="1757"/>
    </row>
    <row r="7" spans="1:13" ht="15.75" customHeight="1">
      <c r="A7" s="1720"/>
      <c r="B7" s="1721"/>
      <c r="C7" s="1755"/>
      <c r="D7" s="1805" t="s">
        <v>7</v>
      </c>
      <c r="E7" s="1806"/>
      <c r="F7" s="1806"/>
      <c r="G7" s="1807"/>
      <c r="H7" s="1754" t="s">
        <v>37</v>
      </c>
      <c r="I7" s="1737" t="s">
        <v>7</v>
      </c>
      <c r="J7" s="1808"/>
      <c r="K7" s="1808"/>
      <c r="L7" s="1808"/>
      <c r="M7" s="1757"/>
    </row>
    <row r="8" spans="1:13" ht="14.25" customHeight="1">
      <c r="A8" s="1720"/>
      <c r="B8" s="1721"/>
      <c r="C8" s="1755"/>
      <c r="D8" s="1754" t="s">
        <v>302</v>
      </c>
      <c r="E8" s="1754" t="s">
        <v>676</v>
      </c>
      <c r="F8" s="1754" t="s">
        <v>304</v>
      </c>
      <c r="G8" s="1754" t="s">
        <v>303</v>
      </c>
      <c r="H8" s="1755"/>
      <c r="I8" s="1754" t="s">
        <v>305</v>
      </c>
      <c r="J8" s="1754" t="s">
        <v>306</v>
      </c>
      <c r="K8" s="1754" t="s">
        <v>307</v>
      </c>
      <c r="L8" s="1754" t="s">
        <v>308</v>
      </c>
      <c r="M8" s="1754" t="s">
        <v>309</v>
      </c>
    </row>
    <row r="9" spans="1:13" ht="77.25" customHeight="1">
      <c r="A9" s="1748"/>
      <c r="B9" s="1749"/>
      <c r="C9" s="1756"/>
      <c r="D9" s="1756"/>
      <c r="E9" s="1756"/>
      <c r="F9" s="1756"/>
      <c r="G9" s="1756"/>
      <c r="H9" s="1756"/>
      <c r="I9" s="1756"/>
      <c r="J9" s="1756"/>
      <c r="K9" s="1756"/>
      <c r="L9" s="1756"/>
      <c r="M9" s="1756"/>
    </row>
    <row r="10" spans="1:13" s="641" customFormat="1" ht="16.5" customHeight="1">
      <c r="A10" s="1797" t="s">
        <v>6</v>
      </c>
      <c r="B10" s="1798"/>
      <c r="C10" s="623">
        <v>1</v>
      </c>
      <c r="D10" s="623">
        <v>2</v>
      </c>
      <c r="E10" s="623">
        <v>3</v>
      </c>
      <c r="F10" s="623">
        <v>4</v>
      </c>
      <c r="G10" s="623" t="s">
        <v>74</v>
      </c>
      <c r="H10" s="623" t="s">
        <v>75</v>
      </c>
      <c r="I10" s="623" t="s">
        <v>76</v>
      </c>
      <c r="J10" s="623" t="s">
        <v>77</v>
      </c>
      <c r="K10" s="623" t="s">
        <v>78</v>
      </c>
      <c r="L10" s="623" t="s">
        <v>101</v>
      </c>
      <c r="M10" s="623" t="s">
        <v>102</v>
      </c>
    </row>
    <row r="11" spans="1:13" s="641" customFormat="1" ht="20.25" customHeight="1">
      <c r="A11" s="1799" t="s">
        <v>37</v>
      </c>
      <c r="B11" s="1800"/>
      <c r="C11" s="792">
        <f>C12+C13</f>
        <v>4</v>
      </c>
      <c r="D11" s="792">
        <f aca="true" t="shared" si="0" ref="D11:M11">D12+D13</f>
        <v>0</v>
      </c>
      <c r="E11" s="792">
        <f t="shared" si="0"/>
        <v>0</v>
      </c>
      <c r="F11" s="792">
        <f t="shared" si="0"/>
        <v>4</v>
      </c>
      <c r="G11" s="792">
        <f t="shared" si="0"/>
        <v>0</v>
      </c>
      <c r="H11" s="792">
        <f t="shared" si="0"/>
        <v>4</v>
      </c>
      <c r="I11" s="792">
        <f t="shared" si="0"/>
        <v>2</v>
      </c>
      <c r="J11" s="792">
        <f t="shared" si="0"/>
        <v>0</v>
      </c>
      <c r="K11" s="792">
        <f t="shared" si="0"/>
        <v>0</v>
      </c>
      <c r="L11" s="792">
        <f t="shared" si="0"/>
        <v>0</v>
      </c>
      <c r="M11" s="792">
        <f t="shared" si="0"/>
        <v>2</v>
      </c>
    </row>
    <row r="12" spans="1:13" s="641" customFormat="1" ht="21.75" customHeight="1">
      <c r="A12" s="283" t="s">
        <v>0</v>
      </c>
      <c r="B12" s="207" t="s">
        <v>228</v>
      </c>
      <c r="C12" s="792">
        <f>D12+E12+F12</f>
        <v>0</v>
      </c>
      <c r="D12" s="1115">
        <v>0</v>
      </c>
      <c r="E12" s="1115">
        <v>0</v>
      </c>
      <c r="F12" s="848">
        <v>0</v>
      </c>
      <c r="G12" s="848">
        <v>0</v>
      </c>
      <c r="H12" s="849">
        <f>I12+J12+K12+L12+M12</f>
        <v>0</v>
      </c>
      <c r="I12" s="850">
        <v>0</v>
      </c>
      <c r="J12" s="850">
        <v>0</v>
      </c>
      <c r="K12" s="851">
        <v>0</v>
      </c>
      <c r="L12" s="851">
        <v>0</v>
      </c>
      <c r="M12" s="851">
        <v>0</v>
      </c>
    </row>
    <row r="13" spans="1:13" s="641" customFormat="1" ht="20.25" customHeight="1">
      <c r="A13" s="798" t="s">
        <v>1</v>
      </c>
      <c r="B13" s="791" t="s">
        <v>19</v>
      </c>
      <c r="C13" s="792">
        <f>C14+C15+C16+C17+C18+C19+C20+C21+C22+C23</f>
        <v>4</v>
      </c>
      <c r="D13" s="792">
        <f aca="true" t="shared" si="1" ref="D13:M13">D14+D15+D16+D17+D18+D19+D20+D21+D22+D23</f>
        <v>0</v>
      </c>
      <c r="E13" s="792">
        <f t="shared" si="1"/>
        <v>0</v>
      </c>
      <c r="F13" s="792">
        <f t="shared" si="1"/>
        <v>4</v>
      </c>
      <c r="G13" s="792">
        <f t="shared" si="1"/>
        <v>0</v>
      </c>
      <c r="H13" s="792">
        <f t="shared" si="1"/>
        <v>4</v>
      </c>
      <c r="I13" s="792">
        <f t="shared" si="1"/>
        <v>2</v>
      </c>
      <c r="J13" s="792">
        <f t="shared" si="1"/>
        <v>0</v>
      </c>
      <c r="K13" s="792">
        <f t="shared" si="1"/>
        <v>0</v>
      </c>
      <c r="L13" s="792">
        <f t="shared" si="1"/>
        <v>0</v>
      </c>
      <c r="M13" s="792">
        <f t="shared" si="1"/>
        <v>2</v>
      </c>
    </row>
    <row r="14" spans="1:13" s="641" customFormat="1" ht="18" customHeight="1">
      <c r="A14" s="283">
        <v>1</v>
      </c>
      <c r="B14" s="793" t="s">
        <v>748</v>
      </c>
      <c r="C14" s="792">
        <f>D14+E14+F14+G14</f>
        <v>1</v>
      </c>
      <c r="D14" s="1115">
        <v>0</v>
      </c>
      <c r="E14" s="1115">
        <v>0</v>
      </c>
      <c r="F14" s="1115">
        <v>1</v>
      </c>
      <c r="G14" s="848">
        <v>0</v>
      </c>
      <c r="H14" s="792">
        <f>I14+J14+K14+L14+M14</f>
        <v>1</v>
      </c>
      <c r="I14" s="848">
        <v>1</v>
      </c>
      <c r="J14" s="848">
        <v>0</v>
      </c>
      <c r="K14" s="851">
        <v>0</v>
      </c>
      <c r="L14" s="851">
        <v>0</v>
      </c>
      <c r="M14" s="790">
        <v>0</v>
      </c>
    </row>
    <row r="15" spans="1:13" s="641" customFormat="1" ht="18.75" customHeight="1">
      <c r="A15" s="283">
        <v>2</v>
      </c>
      <c r="B15" s="793" t="s">
        <v>749</v>
      </c>
      <c r="C15" s="792">
        <f aca="true" t="shared" si="2" ref="C15:C23">D15+E15+F15+G15</f>
        <v>0</v>
      </c>
      <c r="D15" s="1115">
        <v>0</v>
      </c>
      <c r="E15" s="1115">
        <v>0</v>
      </c>
      <c r="F15" s="1115">
        <v>0</v>
      </c>
      <c r="G15" s="848">
        <v>0</v>
      </c>
      <c r="H15" s="792">
        <f aca="true" t="shared" si="3" ref="H15:H23">I15+J15+K15+L15+M15</f>
        <v>0</v>
      </c>
      <c r="I15" s="848">
        <v>0</v>
      </c>
      <c r="J15" s="848">
        <v>0</v>
      </c>
      <c r="K15" s="848">
        <v>0</v>
      </c>
      <c r="L15" s="848">
        <v>0</v>
      </c>
      <c r="M15" s="790">
        <v>0</v>
      </c>
    </row>
    <row r="16" spans="1:13" s="641" customFormat="1" ht="18" customHeight="1">
      <c r="A16" s="283">
        <v>3</v>
      </c>
      <c r="B16" s="793" t="s">
        <v>750</v>
      </c>
      <c r="C16" s="792">
        <f t="shared" si="2"/>
        <v>1</v>
      </c>
      <c r="D16" s="1115">
        <v>0</v>
      </c>
      <c r="E16" s="1115">
        <v>0</v>
      </c>
      <c r="F16" s="1115">
        <v>1</v>
      </c>
      <c r="G16" s="848">
        <v>0</v>
      </c>
      <c r="H16" s="792">
        <f t="shared" si="3"/>
        <v>1</v>
      </c>
      <c r="I16" s="848">
        <v>1</v>
      </c>
      <c r="J16" s="848">
        <v>0</v>
      </c>
      <c r="K16" s="848">
        <v>0</v>
      </c>
      <c r="L16" s="848">
        <v>0</v>
      </c>
      <c r="M16" s="790">
        <v>0</v>
      </c>
    </row>
    <row r="17" spans="1:13" s="641" customFormat="1" ht="18.75" customHeight="1">
      <c r="A17" s="283">
        <v>4</v>
      </c>
      <c r="B17" s="793" t="s">
        <v>751</v>
      </c>
      <c r="C17" s="792">
        <f t="shared" si="2"/>
        <v>0</v>
      </c>
      <c r="D17" s="1115">
        <v>0</v>
      </c>
      <c r="E17" s="1115">
        <v>0</v>
      </c>
      <c r="F17" s="1115">
        <v>0</v>
      </c>
      <c r="G17" s="848">
        <v>0</v>
      </c>
      <c r="H17" s="792">
        <f t="shared" si="3"/>
        <v>0</v>
      </c>
      <c r="I17" s="848">
        <v>0</v>
      </c>
      <c r="J17" s="848">
        <v>0</v>
      </c>
      <c r="K17" s="848">
        <v>0</v>
      </c>
      <c r="L17" s="848">
        <v>0</v>
      </c>
      <c r="M17" s="790">
        <v>0</v>
      </c>
    </row>
    <row r="18" spans="1:13" s="641" customFormat="1" ht="18.75" customHeight="1">
      <c r="A18" s="283">
        <v>5</v>
      </c>
      <c r="B18" s="793" t="s">
        <v>752</v>
      </c>
      <c r="C18" s="792">
        <f t="shared" si="2"/>
        <v>1</v>
      </c>
      <c r="D18" s="1115">
        <v>0</v>
      </c>
      <c r="E18" s="1115">
        <v>0</v>
      </c>
      <c r="F18" s="1115">
        <v>1</v>
      </c>
      <c r="G18" s="848">
        <v>0</v>
      </c>
      <c r="H18" s="792">
        <f t="shared" si="3"/>
        <v>1</v>
      </c>
      <c r="I18" s="848">
        <v>0</v>
      </c>
      <c r="J18" s="848">
        <v>0</v>
      </c>
      <c r="K18" s="848">
        <v>0</v>
      </c>
      <c r="L18" s="848">
        <v>0</v>
      </c>
      <c r="M18" s="790">
        <v>1</v>
      </c>
    </row>
    <row r="19" spans="1:13" s="641" customFormat="1" ht="18.75" customHeight="1">
      <c r="A19" s="283">
        <v>6</v>
      </c>
      <c r="B19" s="793" t="s">
        <v>753</v>
      </c>
      <c r="C19" s="792">
        <f t="shared" si="2"/>
        <v>0</v>
      </c>
      <c r="D19" s="1115">
        <v>0</v>
      </c>
      <c r="E19" s="1115">
        <v>0</v>
      </c>
      <c r="F19" s="1115">
        <v>0</v>
      </c>
      <c r="G19" s="848">
        <v>0</v>
      </c>
      <c r="H19" s="792">
        <f t="shared" si="3"/>
        <v>0</v>
      </c>
      <c r="I19" s="848">
        <v>0</v>
      </c>
      <c r="J19" s="848">
        <v>0</v>
      </c>
      <c r="K19" s="848">
        <v>0</v>
      </c>
      <c r="L19" s="848">
        <v>0</v>
      </c>
      <c r="M19" s="790">
        <v>0</v>
      </c>
    </row>
    <row r="20" spans="1:13" s="641" customFormat="1" ht="18.75" customHeight="1">
      <c r="A20" s="283">
        <v>7</v>
      </c>
      <c r="B20" s="793" t="s">
        <v>754</v>
      </c>
      <c r="C20" s="792">
        <f t="shared" si="2"/>
        <v>0</v>
      </c>
      <c r="D20" s="1115">
        <v>0</v>
      </c>
      <c r="E20" s="1115">
        <v>0</v>
      </c>
      <c r="F20" s="1115">
        <v>0</v>
      </c>
      <c r="G20" s="848">
        <v>0</v>
      </c>
      <c r="H20" s="792">
        <f t="shared" si="3"/>
        <v>0</v>
      </c>
      <c r="I20" s="848">
        <v>0</v>
      </c>
      <c r="J20" s="848">
        <v>0</v>
      </c>
      <c r="K20" s="848">
        <v>0</v>
      </c>
      <c r="L20" s="848">
        <v>0</v>
      </c>
      <c r="M20" s="790">
        <v>0</v>
      </c>
    </row>
    <row r="21" spans="1:13" s="641" customFormat="1" ht="18.75" customHeight="1">
      <c r="A21" s="283">
        <v>8</v>
      </c>
      <c r="B21" s="793" t="s">
        <v>755</v>
      </c>
      <c r="C21" s="792">
        <f t="shared" si="2"/>
        <v>0</v>
      </c>
      <c r="D21" s="1115">
        <v>0</v>
      </c>
      <c r="E21" s="1115">
        <v>0</v>
      </c>
      <c r="F21" s="1115">
        <v>0</v>
      </c>
      <c r="G21" s="848">
        <v>0</v>
      </c>
      <c r="H21" s="792">
        <f t="shared" si="3"/>
        <v>0</v>
      </c>
      <c r="I21" s="848">
        <v>0</v>
      </c>
      <c r="J21" s="848">
        <v>0</v>
      </c>
      <c r="K21" s="848">
        <v>0</v>
      </c>
      <c r="L21" s="848">
        <v>0</v>
      </c>
      <c r="M21" s="790">
        <v>0</v>
      </c>
    </row>
    <row r="22" spans="1:13" s="641" customFormat="1" ht="18" customHeight="1">
      <c r="A22" s="283">
        <v>9</v>
      </c>
      <c r="B22" s="793" t="s">
        <v>756</v>
      </c>
      <c r="C22" s="792">
        <f t="shared" si="2"/>
        <v>0</v>
      </c>
      <c r="D22" s="1115">
        <v>0</v>
      </c>
      <c r="E22" s="1115">
        <v>0</v>
      </c>
      <c r="F22" s="1115">
        <v>0</v>
      </c>
      <c r="G22" s="848">
        <v>0</v>
      </c>
      <c r="H22" s="792">
        <f t="shared" si="3"/>
        <v>0</v>
      </c>
      <c r="I22" s="848">
        <v>0</v>
      </c>
      <c r="J22" s="848">
        <v>0</v>
      </c>
      <c r="K22" s="848">
        <v>0</v>
      </c>
      <c r="L22" s="848">
        <v>0</v>
      </c>
      <c r="M22" s="790">
        <v>0</v>
      </c>
    </row>
    <row r="23" spans="1:13" s="641" customFormat="1" ht="19.5" customHeight="1" thickBot="1">
      <c r="A23" s="775">
        <v>10</v>
      </c>
      <c r="B23" s="1069" t="s">
        <v>757</v>
      </c>
      <c r="C23" s="794">
        <f t="shared" si="2"/>
        <v>1</v>
      </c>
      <c r="D23" s="1122">
        <v>0</v>
      </c>
      <c r="E23" s="1122">
        <v>0</v>
      </c>
      <c r="F23" s="1122">
        <v>1</v>
      </c>
      <c r="G23" s="1153">
        <v>0</v>
      </c>
      <c r="H23" s="794">
        <f t="shared" si="3"/>
        <v>1</v>
      </c>
      <c r="I23" s="1153">
        <v>0</v>
      </c>
      <c r="J23" s="1153">
        <v>0</v>
      </c>
      <c r="K23" s="1153">
        <v>0</v>
      </c>
      <c r="L23" s="1153">
        <v>0</v>
      </c>
      <c r="M23" s="795">
        <v>1</v>
      </c>
    </row>
    <row r="24" spans="1:13" ht="16.5" customHeight="1" thickTop="1">
      <c r="A24" s="1811"/>
      <c r="B24" s="1752"/>
      <c r="C24" s="1752"/>
      <c r="D24" s="1752"/>
      <c r="E24" s="1752"/>
      <c r="F24" s="1132"/>
      <c r="G24" s="1132"/>
      <c r="H24" s="1136"/>
      <c r="I24" s="1812" t="str">
        <f>'Thong tin'!B9</f>
        <v>Bình Thuận, ngày 04 tháng 8 năm 2016</v>
      </c>
      <c r="J24" s="1812"/>
      <c r="K24" s="1812"/>
      <c r="L24" s="1812"/>
      <c r="M24" s="1812"/>
    </row>
    <row r="25" spans="1:13" ht="18.75" customHeight="1">
      <c r="A25" s="1750" t="s">
        <v>4</v>
      </c>
      <c r="B25" s="1750"/>
      <c r="C25" s="1750"/>
      <c r="D25" s="1750"/>
      <c r="E25" s="1750"/>
      <c r="F25" s="1132"/>
      <c r="G25" s="1132"/>
      <c r="H25" s="1138"/>
      <c r="I25" s="1706" t="str">
        <f>'Thong tin'!B7</f>
        <v>KT. CỤC TRƯỞNG</v>
      </c>
      <c r="J25" s="1706"/>
      <c r="K25" s="1706"/>
      <c r="L25" s="1706"/>
      <c r="M25" s="1706"/>
    </row>
    <row r="26" spans="1:13" ht="16.5">
      <c r="A26" s="1732"/>
      <c r="B26" s="1732"/>
      <c r="C26" s="1732"/>
      <c r="D26" s="1732"/>
      <c r="E26" s="1732"/>
      <c r="F26" s="562"/>
      <c r="G26" s="562"/>
      <c r="H26" s="1132"/>
      <c r="I26" s="1733" t="str">
        <f>'Thong tin'!B8</f>
        <v>PHÓ CỤC TRƯỞNG</v>
      </c>
      <c r="J26" s="1733"/>
      <c r="K26" s="1733"/>
      <c r="L26" s="1733"/>
      <c r="M26" s="1733"/>
    </row>
    <row r="27" spans="1:13" ht="31.5" customHeight="1">
      <c r="A27" s="1128"/>
      <c r="B27" s="1128"/>
      <c r="C27" s="1128"/>
      <c r="D27" s="1128"/>
      <c r="E27" s="1128"/>
      <c r="F27" s="562"/>
      <c r="G27" s="562"/>
      <c r="H27" s="1132"/>
      <c r="I27" s="1130"/>
      <c r="J27" s="1130"/>
      <c r="K27" s="1130"/>
      <c r="L27" s="1130"/>
      <c r="M27" s="1130"/>
    </row>
    <row r="28" spans="1:13" ht="16.5">
      <c r="A28" s="1128"/>
      <c r="B28" s="1128"/>
      <c r="C28" s="1128"/>
      <c r="D28" s="1128"/>
      <c r="E28" s="1128"/>
      <c r="F28" s="562"/>
      <c r="G28" s="562"/>
      <c r="H28" s="1132"/>
      <c r="I28" s="1130"/>
      <c r="J28" s="1130"/>
      <c r="K28" s="1130"/>
      <c r="L28" s="1130"/>
      <c r="M28" s="1130"/>
    </row>
    <row r="29" spans="1:13" ht="16.5">
      <c r="A29" s="1132"/>
      <c r="B29" s="1132"/>
      <c r="C29" s="1132"/>
      <c r="D29" s="1132"/>
      <c r="E29" s="1132"/>
      <c r="F29" s="1132"/>
      <c r="G29" s="1132"/>
      <c r="H29" s="1132"/>
      <c r="I29" s="1132"/>
      <c r="J29" s="1132"/>
      <c r="K29" s="1132"/>
      <c r="L29" s="1132"/>
      <c r="M29" s="1132"/>
    </row>
    <row r="30" spans="1:13" ht="16.5">
      <c r="A30" s="1683" t="str">
        <f>'Thong tin'!B5</f>
        <v>Trần Quốc Bảo</v>
      </c>
      <c r="B30" s="1683"/>
      <c r="C30" s="1683"/>
      <c r="D30" s="1683"/>
      <c r="E30" s="1683"/>
      <c r="F30" s="1132"/>
      <c r="G30" s="1132"/>
      <c r="H30" s="1092"/>
      <c r="I30" s="1636" t="str">
        <f>'Thong tin'!B6</f>
        <v>Trần Nam</v>
      </c>
      <c r="J30" s="1636"/>
      <c r="K30" s="1636"/>
      <c r="L30" s="1636"/>
      <c r="M30" s="1636"/>
    </row>
    <row r="31" spans="1:13" ht="12.75" customHeight="1">
      <c r="A31" s="642"/>
      <c r="B31" s="642"/>
      <c r="C31" s="642"/>
      <c r="D31" s="642"/>
      <c r="E31" s="642"/>
      <c r="F31" s="642"/>
      <c r="G31" s="642"/>
      <c r="H31" s="642"/>
      <c r="I31" s="647"/>
      <c r="J31" s="647"/>
      <c r="K31" s="647"/>
      <c r="L31" s="647"/>
      <c r="M31" s="647"/>
    </row>
  </sheetData>
  <sheetProtection/>
  <mergeCells count="34">
    <mergeCell ref="A30:E30"/>
    <mergeCell ref="I30:M30"/>
    <mergeCell ref="A25:E25"/>
    <mergeCell ref="I25:M25"/>
    <mergeCell ref="A26:E26"/>
    <mergeCell ref="I26:M26"/>
    <mergeCell ref="A5:B5"/>
    <mergeCell ref="J5:M5"/>
    <mergeCell ref="A24:E24"/>
    <mergeCell ref="G8:G9"/>
    <mergeCell ref="D6:G6"/>
    <mergeCell ref="I7:M7"/>
    <mergeCell ref="D8:D9"/>
    <mergeCell ref="A6:B9"/>
    <mergeCell ref="C6:C9"/>
    <mergeCell ref="I24:M24"/>
    <mergeCell ref="K2:M2"/>
    <mergeCell ref="D7:G7"/>
    <mergeCell ref="H7:H9"/>
    <mergeCell ref="M8:M9"/>
    <mergeCell ref="F8:F9"/>
    <mergeCell ref="I8:I9"/>
    <mergeCell ref="J8:J9"/>
    <mergeCell ref="H6:M6"/>
    <mergeCell ref="E8:E9"/>
    <mergeCell ref="A1:C1"/>
    <mergeCell ref="A4:C4"/>
    <mergeCell ref="D4:I4"/>
    <mergeCell ref="D1:I1"/>
    <mergeCell ref="D2:I2"/>
    <mergeCell ref="A10:B10"/>
    <mergeCell ref="A11:B11"/>
    <mergeCell ref="K8:K9"/>
    <mergeCell ref="L8:L9"/>
  </mergeCells>
  <printOptions horizontalCentered="1"/>
  <pageMargins left="0.47" right="0.37" top="0.19" bottom="0.14" header="0.12" footer="0.25"/>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indexed="18"/>
  </sheetPr>
  <dimension ref="A1:T34"/>
  <sheetViews>
    <sheetView view="pageBreakPreview" zoomScaleSheetLayoutView="100" zoomScalePageLayoutView="0" workbookViewId="0" topLeftCell="A1">
      <selection activeCell="G13" sqref="G13"/>
    </sheetView>
  </sheetViews>
  <sheetFormatPr defaultColWidth="9.00390625" defaultRowHeight="15.75"/>
  <cols>
    <col min="1" max="1" width="2.50390625" style="560" customWidth="1"/>
    <col min="2" max="2" width="21.50390625" style="560" customWidth="1"/>
    <col min="3" max="3" width="6.125" style="560" customWidth="1"/>
    <col min="4" max="4" width="9.25390625" style="560" customWidth="1"/>
    <col min="5" max="5" width="4.75390625" style="560" customWidth="1"/>
    <col min="6" max="6" width="8.50390625" style="560" customWidth="1"/>
    <col min="7" max="7" width="4.50390625" style="560" customWidth="1"/>
    <col min="8" max="8" width="8.625" style="560" customWidth="1"/>
    <col min="9" max="9" width="4.375" style="560" customWidth="1"/>
    <col min="10" max="10" width="7.50390625" style="560" customWidth="1"/>
    <col min="11" max="11" width="4.25390625" style="560" customWidth="1"/>
    <col min="12" max="12" width="6.50390625" style="560" customWidth="1"/>
    <col min="13" max="13" width="5.375" style="560" customWidth="1"/>
    <col min="14" max="14" width="8.25390625" style="560" customWidth="1"/>
    <col min="15" max="15" width="4.375" style="560" customWidth="1"/>
    <col min="16" max="16" width="7.875" style="560" customWidth="1"/>
    <col min="17" max="17" width="5.75390625" style="560" customWidth="1"/>
    <col min="18" max="18" width="6.75390625" style="560" customWidth="1"/>
    <col min="19" max="19" width="4.00390625" style="560" customWidth="1"/>
    <col min="20" max="20" width="6.125" style="560" customWidth="1"/>
    <col min="21" max="16384" width="9.00390625" style="560" customWidth="1"/>
  </cols>
  <sheetData>
    <row r="1" spans="1:20" ht="18" customHeight="1">
      <c r="A1" s="1816" t="s">
        <v>313</v>
      </c>
      <c r="B1" s="1816"/>
      <c r="C1" s="1816"/>
      <c r="D1" s="1816"/>
      <c r="E1" s="1692" t="s">
        <v>671</v>
      </c>
      <c r="F1" s="1692"/>
      <c r="G1" s="1692"/>
      <c r="H1" s="1692"/>
      <c r="I1" s="1692"/>
      <c r="J1" s="1692"/>
      <c r="K1" s="1692"/>
      <c r="L1" s="1692"/>
      <c r="M1" s="1692"/>
      <c r="N1" s="1692"/>
      <c r="O1" s="1692"/>
      <c r="P1" s="561" t="s">
        <v>398</v>
      </c>
      <c r="Q1" s="645"/>
      <c r="R1" s="645"/>
      <c r="S1" s="645"/>
      <c r="T1" s="645"/>
    </row>
    <row r="2" spans="1:20" ht="20.25" customHeight="1">
      <c r="A2" s="706" t="s">
        <v>342</v>
      </c>
      <c r="B2" s="706" t="s">
        <v>342</v>
      </c>
      <c r="C2" s="706"/>
      <c r="D2" s="706"/>
      <c r="E2" s="1692"/>
      <c r="F2" s="1692"/>
      <c r="G2" s="1692"/>
      <c r="H2" s="1692"/>
      <c r="I2" s="1692"/>
      <c r="J2" s="1692"/>
      <c r="K2" s="1692"/>
      <c r="L2" s="1692"/>
      <c r="M2" s="1692"/>
      <c r="N2" s="1692"/>
      <c r="O2" s="1692"/>
      <c r="P2" s="690" t="str">
        <f>'Thong tin'!B4</f>
        <v>Cục THADS tỉnh Bình Thuận</v>
      </c>
      <c r="Q2" s="645"/>
      <c r="R2" s="645"/>
      <c r="S2" s="645"/>
      <c r="T2" s="645"/>
    </row>
    <row r="3" spans="1:20" ht="15" customHeight="1">
      <c r="A3" s="706" t="s">
        <v>343</v>
      </c>
      <c r="B3" s="706" t="s">
        <v>343</v>
      </c>
      <c r="C3" s="706"/>
      <c r="D3" s="706"/>
      <c r="E3" s="1692"/>
      <c r="F3" s="1692"/>
      <c r="G3" s="1692"/>
      <c r="H3" s="1692"/>
      <c r="I3" s="1692"/>
      <c r="J3" s="1692"/>
      <c r="K3" s="1692"/>
      <c r="L3" s="1692"/>
      <c r="M3" s="1692"/>
      <c r="N3" s="1692"/>
      <c r="O3" s="1692"/>
      <c r="P3" s="561" t="s">
        <v>466</v>
      </c>
      <c r="Q3" s="561"/>
      <c r="R3" s="561"/>
      <c r="S3" s="648"/>
      <c r="T3" s="648"/>
    </row>
    <row r="4" spans="1:20" ht="15.75" customHeight="1">
      <c r="A4" s="709" t="s">
        <v>678</v>
      </c>
      <c r="B4" s="709" t="s">
        <v>678</v>
      </c>
      <c r="C4" s="709"/>
      <c r="D4" s="709"/>
      <c r="E4" s="1813" t="str">
        <f>'Thong tin'!B3</f>
        <v>10 tháng / năm 2016</v>
      </c>
      <c r="F4" s="1813"/>
      <c r="G4" s="1813"/>
      <c r="H4" s="1813"/>
      <c r="I4" s="1813"/>
      <c r="J4" s="1813"/>
      <c r="K4" s="1813"/>
      <c r="L4" s="1813"/>
      <c r="M4" s="1813"/>
      <c r="N4" s="1813"/>
      <c r="O4" s="1813"/>
      <c r="P4" s="645" t="s">
        <v>410</v>
      </c>
      <c r="Q4" s="561"/>
      <c r="R4" s="561"/>
      <c r="S4" s="648"/>
      <c r="T4" s="648"/>
    </row>
    <row r="5" spans="1:18" ht="24" customHeight="1">
      <c r="A5" s="649"/>
      <c r="B5" s="649"/>
      <c r="C5" s="649"/>
      <c r="F5" s="1817"/>
      <c r="G5" s="1817"/>
      <c r="H5" s="1817"/>
      <c r="I5" s="1817"/>
      <c r="J5" s="1817"/>
      <c r="K5" s="1817"/>
      <c r="L5" s="1817"/>
      <c r="M5" s="1817"/>
      <c r="N5" s="1817"/>
      <c r="O5" s="1817"/>
      <c r="P5" s="614" t="s">
        <v>442</v>
      </c>
      <c r="Q5" s="650"/>
      <c r="R5" s="650"/>
    </row>
    <row r="6" spans="1:20" s="651" customFormat="1" ht="18" customHeight="1">
      <c r="A6" s="1805" t="s">
        <v>72</v>
      </c>
      <c r="B6" s="1807"/>
      <c r="C6" s="1737" t="s">
        <v>38</v>
      </c>
      <c r="D6" s="1757"/>
      <c r="E6" s="1737" t="s">
        <v>7</v>
      </c>
      <c r="F6" s="1808"/>
      <c r="G6" s="1808"/>
      <c r="H6" s="1808"/>
      <c r="I6" s="1808"/>
      <c r="J6" s="1808"/>
      <c r="K6" s="1808"/>
      <c r="L6" s="1808"/>
      <c r="M6" s="1808"/>
      <c r="N6" s="1808"/>
      <c r="O6" s="1808"/>
      <c r="P6" s="1808"/>
      <c r="Q6" s="1808"/>
      <c r="R6" s="1808"/>
      <c r="S6" s="1808"/>
      <c r="T6" s="1757"/>
    </row>
    <row r="7" spans="1:20" s="651" customFormat="1" ht="22.5" customHeight="1">
      <c r="A7" s="1818"/>
      <c r="B7" s="1819"/>
      <c r="C7" s="1754" t="s">
        <v>443</v>
      </c>
      <c r="D7" s="1754" t="s">
        <v>444</v>
      </c>
      <c r="E7" s="1737" t="s">
        <v>314</v>
      </c>
      <c r="F7" s="1814"/>
      <c r="G7" s="1814"/>
      <c r="H7" s="1814"/>
      <c r="I7" s="1814"/>
      <c r="J7" s="1814"/>
      <c r="K7" s="1814"/>
      <c r="L7" s="1815"/>
      <c r="M7" s="1737" t="s">
        <v>445</v>
      </c>
      <c r="N7" s="1808"/>
      <c r="O7" s="1808"/>
      <c r="P7" s="1808"/>
      <c r="Q7" s="1808"/>
      <c r="R7" s="1808"/>
      <c r="S7" s="1808"/>
      <c r="T7" s="1757"/>
    </row>
    <row r="8" spans="1:20" s="651" customFormat="1" ht="32.25" customHeight="1">
      <c r="A8" s="1818"/>
      <c r="B8" s="1819"/>
      <c r="C8" s="1755"/>
      <c r="D8" s="1755"/>
      <c r="E8" s="1747" t="s">
        <v>446</v>
      </c>
      <c r="F8" s="1747"/>
      <c r="G8" s="1737" t="s">
        <v>447</v>
      </c>
      <c r="H8" s="1808"/>
      <c r="I8" s="1808"/>
      <c r="J8" s="1808"/>
      <c r="K8" s="1808"/>
      <c r="L8" s="1757"/>
      <c r="M8" s="1747" t="s">
        <v>448</v>
      </c>
      <c r="N8" s="1747"/>
      <c r="O8" s="1737" t="s">
        <v>447</v>
      </c>
      <c r="P8" s="1808"/>
      <c r="Q8" s="1808"/>
      <c r="R8" s="1808"/>
      <c r="S8" s="1808"/>
      <c r="T8" s="1757"/>
    </row>
    <row r="9" spans="1:20" s="651" customFormat="1" ht="30.75" customHeight="1">
      <c r="A9" s="1818"/>
      <c r="B9" s="1819"/>
      <c r="C9" s="1755"/>
      <c r="D9" s="1755"/>
      <c r="E9" s="1754" t="s">
        <v>315</v>
      </c>
      <c r="F9" s="1754" t="s">
        <v>316</v>
      </c>
      <c r="G9" s="1820" t="s">
        <v>317</v>
      </c>
      <c r="H9" s="1821"/>
      <c r="I9" s="1820" t="s">
        <v>318</v>
      </c>
      <c r="J9" s="1821"/>
      <c r="K9" s="1820" t="s">
        <v>319</v>
      </c>
      <c r="L9" s="1821"/>
      <c r="M9" s="1754" t="s">
        <v>320</v>
      </c>
      <c r="N9" s="1754" t="s">
        <v>316</v>
      </c>
      <c r="O9" s="1820" t="s">
        <v>317</v>
      </c>
      <c r="P9" s="1821"/>
      <c r="Q9" s="1820" t="s">
        <v>321</v>
      </c>
      <c r="R9" s="1821"/>
      <c r="S9" s="1820" t="s">
        <v>322</v>
      </c>
      <c r="T9" s="1821"/>
    </row>
    <row r="10" spans="1:20" s="651" customFormat="1" ht="25.5" customHeight="1">
      <c r="A10" s="1820"/>
      <c r="B10" s="1821"/>
      <c r="C10" s="1756"/>
      <c r="D10" s="1756"/>
      <c r="E10" s="1756"/>
      <c r="F10" s="1756"/>
      <c r="G10" s="619" t="s">
        <v>320</v>
      </c>
      <c r="H10" s="619" t="s">
        <v>316</v>
      </c>
      <c r="I10" s="622" t="s">
        <v>320</v>
      </c>
      <c r="J10" s="619" t="s">
        <v>316</v>
      </c>
      <c r="K10" s="622" t="s">
        <v>320</v>
      </c>
      <c r="L10" s="619" t="s">
        <v>316</v>
      </c>
      <c r="M10" s="1756"/>
      <c r="N10" s="1756"/>
      <c r="O10" s="619" t="s">
        <v>320</v>
      </c>
      <c r="P10" s="619" t="s">
        <v>316</v>
      </c>
      <c r="Q10" s="622" t="s">
        <v>320</v>
      </c>
      <c r="R10" s="619" t="s">
        <v>316</v>
      </c>
      <c r="S10" s="622" t="s">
        <v>320</v>
      </c>
      <c r="T10" s="619" t="s">
        <v>316</v>
      </c>
    </row>
    <row r="11" spans="1:20" s="624" customFormat="1" ht="12.75">
      <c r="A11" s="1822" t="s">
        <v>6</v>
      </c>
      <c r="B11" s="1823"/>
      <c r="C11" s="652">
        <v>1</v>
      </c>
      <c r="D11" s="623">
        <v>2</v>
      </c>
      <c r="E11" s="652">
        <v>3</v>
      </c>
      <c r="F11" s="623">
        <v>4</v>
      </c>
      <c r="G11" s="652">
        <v>5</v>
      </c>
      <c r="H11" s="623">
        <v>6</v>
      </c>
      <c r="I11" s="652">
        <v>7</v>
      </c>
      <c r="J11" s="623">
        <v>8</v>
      </c>
      <c r="K11" s="652">
        <v>9</v>
      </c>
      <c r="L11" s="623">
        <v>10</v>
      </c>
      <c r="M11" s="652">
        <v>11</v>
      </c>
      <c r="N11" s="623">
        <v>12</v>
      </c>
      <c r="O11" s="652">
        <v>13</v>
      </c>
      <c r="P11" s="623">
        <v>14</v>
      </c>
      <c r="Q11" s="652">
        <v>15</v>
      </c>
      <c r="R11" s="623">
        <v>16</v>
      </c>
      <c r="S11" s="652">
        <v>17</v>
      </c>
      <c r="T11" s="623">
        <v>18</v>
      </c>
    </row>
    <row r="12" spans="1:20" s="575" customFormat="1" ht="18.75" customHeight="1">
      <c r="A12" s="1824" t="s">
        <v>37</v>
      </c>
      <c r="B12" s="1825"/>
      <c r="C12" s="1154">
        <f>C13+C14</f>
        <v>73</v>
      </c>
      <c r="D12" s="1154">
        <f aca="true" t="shared" si="0" ref="D12:T12">D13+D14</f>
        <v>24020738</v>
      </c>
      <c r="E12" s="1154">
        <f t="shared" si="0"/>
        <v>5</v>
      </c>
      <c r="F12" s="1154">
        <f t="shared" si="0"/>
        <v>22718212</v>
      </c>
      <c r="G12" s="1154">
        <f t="shared" si="0"/>
        <v>0</v>
      </c>
      <c r="H12" s="1154">
        <f t="shared" si="0"/>
        <v>0</v>
      </c>
      <c r="I12" s="1154">
        <f t="shared" si="0"/>
        <v>0</v>
      </c>
      <c r="J12" s="1154">
        <f t="shared" si="0"/>
        <v>0</v>
      </c>
      <c r="K12" s="1154">
        <f t="shared" si="0"/>
        <v>0</v>
      </c>
      <c r="L12" s="1154">
        <f t="shared" si="0"/>
        <v>0</v>
      </c>
      <c r="M12" s="1154">
        <f t="shared" si="0"/>
        <v>68</v>
      </c>
      <c r="N12" s="1154">
        <f t="shared" si="0"/>
        <v>1302526</v>
      </c>
      <c r="O12" s="1154">
        <f t="shared" si="0"/>
        <v>68</v>
      </c>
      <c r="P12" s="1154">
        <f t="shared" si="0"/>
        <v>1302526</v>
      </c>
      <c r="Q12" s="1154">
        <f t="shared" si="0"/>
        <v>0</v>
      </c>
      <c r="R12" s="1154">
        <f t="shared" si="0"/>
        <v>0</v>
      </c>
      <c r="S12" s="1154">
        <f t="shared" si="0"/>
        <v>0</v>
      </c>
      <c r="T12" s="1154">
        <f t="shared" si="0"/>
        <v>0</v>
      </c>
    </row>
    <row r="13" spans="1:20" s="575" customFormat="1" ht="19.5" customHeight="1">
      <c r="A13" s="206" t="s">
        <v>0</v>
      </c>
      <c r="B13" s="207" t="s">
        <v>228</v>
      </c>
      <c r="C13" s="1114">
        <f>E13+M13</f>
        <v>5</v>
      </c>
      <c r="D13" s="1114">
        <f>F13+N13</f>
        <v>22718212</v>
      </c>
      <c r="E13" s="789">
        <v>5</v>
      </c>
      <c r="F13" s="789">
        <v>22718212</v>
      </c>
      <c r="G13" s="789">
        <v>0</v>
      </c>
      <c r="H13" s="789">
        <v>0</v>
      </c>
      <c r="I13" s="1155">
        <v>0</v>
      </c>
      <c r="J13" s="1155">
        <v>0</v>
      </c>
      <c r="K13" s="1155">
        <v>0</v>
      </c>
      <c r="L13" s="1155">
        <v>0</v>
      </c>
      <c r="M13" s="1155">
        <v>0</v>
      </c>
      <c r="N13" s="1155">
        <v>0</v>
      </c>
      <c r="O13" s="1155">
        <v>0</v>
      </c>
      <c r="P13" s="1155">
        <v>0</v>
      </c>
      <c r="Q13" s="1155">
        <v>0</v>
      </c>
      <c r="R13" s="1155"/>
      <c r="S13" s="1155">
        <v>0</v>
      </c>
      <c r="T13" s="1155">
        <v>0</v>
      </c>
    </row>
    <row r="14" spans="1:20" s="575" customFormat="1" ht="18.75" customHeight="1">
      <c r="A14" s="771" t="s">
        <v>1</v>
      </c>
      <c r="B14" s="791" t="s">
        <v>19</v>
      </c>
      <c r="C14" s="1114">
        <f>C15+C16+C17+C18+C19+C20+C21+C22+C23+C24</f>
        <v>68</v>
      </c>
      <c r="D14" s="1114">
        <f aca="true" t="shared" si="1" ref="D14:T14">D15+D16+D17+D18+D19+D20+D21+D22+D23+D24</f>
        <v>1302526</v>
      </c>
      <c r="E14" s="1114">
        <f t="shared" si="1"/>
        <v>0</v>
      </c>
      <c r="F14" s="1114">
        <f t="shared" si="1"/>
        <v>0</v>
      </c>
      <c r="G14" s="1114">
        <f t="shared" si="1"/>
        <v>0</v>
      </c>
      <c r="H14" s="1114">
        <f t="shared" si="1"/>
        <v>0</v>
      </c>
      <c r="I14" s="1114">
        <f t="shared" si="1"/>
        <v>0</v>
      </c>
      <c r="J14" s="1114">
        <f t="shared" si="1"/>
        <v>0</v>
      </c>
      <c r="K14" s="1114">
        <f t="shared" si="1"/>
        <v>0</v>
      </c>
      <c r="L14" s="1114">
        <f t="shared" si="1"/>
        <v>0</v>
      </c>
      <c r="M14" s="1114">
        <f t="shared" si="1"/>
        <v>68</v>
      </c>
      <c r="N14" s="1114">
        <f t="shared" si="1"/>
        <v>1302526</v>
      </c>
      <c r="O14" s="1114">
        <f t="shared" si="1"/>
        <v>68</v>
      </c>
      <c r="P14" s="1114">
        <f t="shared" si="1"/>
        <v>1302526</v>
      </c>
      <c r="Q14" s="1114">
        <f t="shared" si="1"/>
        <v>0</v>
      </c>
      <c r="R14" s="1114">
        <f t="shared" si="1"/>
        <v>0</v>
      </c>
      <c r="S14" s="1114">
        <f t="shared" si="1"/>
        <v>0</v>
      </c>
      <c r="T14" s="1114">
        <f t="shared" si="1"/>
        <v>0</v>
      </c>
    </row>
    <row r="15" spans="1:20" s="575" customFormat="1" ht="18" customHeight="1">
      <c r="A15" s="283">
        <v>1</v>
      </c>
      <c r="B15" s="793" t="s">
        <v>748</v>
      </c>
      <c r="C15" s="1114">
        <f>E15+M15</f>
        <v>0</v>
      </c>
      <c r="D15" s="1114">
        <f>F15+N15</f>
        <v>0</v>
      </c>
      <c r="E15" s="1155">
        <v>0</v>
      </c>
      <c r="F15" s="1155">
        <v>0</v>
      </c>
      <c r="G15" s="1155">
        <v>0</v>
      </c>
      <c r="H15" s="1155">
        <v>0</v>
      </c>
      <c r="I15" s="1155">
        <v>0</v>
      </c>
      <c r="J15" s="1155">
        <v>0</v>
      </c>
      <c r="K15" s="1155">
        <v>0</v>
      </c>
      <c r="L15" s="1155">
        <v>0</v>
      </c>
      <c r="M15" s="1155">
        <v>0</v>
      </c>
      <c r="N15" s="1155">
        <v>0</v>
      </c>
      <c r="O15" s="1155">
        <v>0</v>
      </c>
      <c r="P15" s="1155">
        <v>0</v>
      </c>
      <c r="Q15" s="1155">
        <v>0</v>
      </c>
      <c r="R15" s="1155">
        <v>0</v>
      </c>
      <c r="S15" s="1155">
        <v>0</v>
      </c>
      <c r="T15" s="1155">
        <v>0</v>
      </c>
    </row>
    <row r="16" spans="1:20" s="575" customFormat="1" ht="19.5" customHeight="1">
      <c r="A16" s="283">
        <v>2</v>
      </c>
      <c r="B16" s="773" t="s">
        <v>749</v>
      </c>
      <c r="C16" s="1114">
        <f aca="true" t="shared" si="2" ref="C16:D24">E16+M16</f>
        <v>0</v>
      </c>
      <c r="D16" s="1114">
        <f t="shared" si="2"/>
        <v>0</v>
      </c>
      <c r="E16" s="1155">
        <v>0</v>
      </c>
      <c r="F16" s="1155">
        <v>0</v>
      </c>
      <c r="G16" s="1155">
        <v>0</v>
      </c>
      <c r="H16" s="1155">
        <v>0</v>
      </c>
      <c r="I16" s="1155">
        <v>0</v>
      </c>
      <c r="J16" s="1155">
        <v>0</v>
      </c>
      <c r="K16" s="1155">
        <v>0</v>
      </c>
      <c r="L16" s="1155">
        <v>0</v>
      </c>
      <c r="M16" s="1155">
        <v>0</v>
      </c>
      <c r="N16" s="1155">
        <v>0</v>
      </c>
      <c r="O16" s="1155">
        <v>0</v>
      </c>
      <c r="P16" s="1155">
        <v>0</v>
      </c>
      <c r="Q16" s="1155">
        <v>0</v>
      </c>
      <c r="R16" s="1155">
        <v>0</v>
      </c>
      <c r="S16" s="1155">
        <v>0</v>
      </c>
      <c r="T16" s="1155">
        <v>0</v>
      </c>
    </row>
    <row r="17" spans="1:20" s="575" customFormat="1" ht="19.5" customHeight="1">
      <c r="A17" s="283">
        <v>3</v>
      </c>
      <c r="B17" s="773" t="s">
        <v>750</v>
      </c>
      <c r="C17" s="1114">
        <f t="shared" si="2"/>
        <v>68</v>
      </c>
      <c r="D17" s="1114">
        <f t="shared" si="2"/>
        <v>1302526</v>
      </c>
      <c r="E17" s="1155">
        <v>0</v>
      </c>
      <c r="F17" s="1155">
        <v>0</v>
      </c>
      <c r="G17" s="1155">
        <v>0</v>
      </c>
      <c r="H17" s="1155">
        <v>0</v>
      </c>
      <c r="I17" s="1155">
        <v>0</v>
      </c>
      <c r="J17" s="1155">
        <v>0</v>
      </c>
      <c r="K17" s="1155">
        <v>0</v>
      </c>
      <c r="L17" s="1155">
        <v>0</v>
      </c>
      <c r="M17" s="1155">
        <v>68</v>
      </c>
      <c r="N17" s="1155">
        <v>1302526</v>
      </c>
      <c r="O17" s="1155">
        <v>68</v>
      </c>
      <c r="P17" s="1155">
        <v>1302526</v>
      </c>
      <c r="Q17" s="1155">
        <v>0</v>
      </c>
      <c r="R17" s="1155">
        <v>0</v>
      </c>
      <c r="S17" s="1155">
        <v>0</v>
      </c>
      <c r="T17" s="1155">
        <v>0</v>
      </c>
    </row>
    <row r="18" spans="1:20" s="575" customFormat="1" ht="19.5" customHeight="1">
      <c r="A18" s="283">
        <v>4</v>
      </c>
      <c r="B18" s="773" t="s">
        <v>751</v>
      </c>
      <c r="C18" s="1114">
        <f t="shared" si="2"/>
        <v>0</v>
      </c>
      <c r="D18" s="1114">
        <f t="shared" si="2"/>
        <v>0</v>
      </c>
      <c r="E18" s="1155">
        <v>0</v>
      </c>
      <c r="F18" s="1155">
        <v>0</v>
      </c>
      <c r="G18" s="1155">
        <v>0</v>
      </c>
      <c r="H18" s="1155">
        <v>0</v>
      </c>
      <c r="I18" s="1155">
        <v>0</v>
      </c>
      <c r="J18" s="1155">
        <v>0</v>
      </c>
      <c r="K18" s="1155">
        <v>0</v>
      </c>
      <c r="L18" s="1155">
        <v>0</v>
      </c>
      <c r="M18" s="1155">
        <v>0</v>
      </c>
      <c r="N18" s="1155">
        <v>0</v>
      </c>
      <c r="O18" s="1155">
        <v>0</v>
      </c>
      <c r="P18" s="1155">
        <v>0</v>
      </c>
      <c r="Q18" s="1155">
        <v>0</v>
      </c>
      <c r="R18" s="1155">
        <v>0</v>
      </c>
      <c r="S18" s="1155">
        <v>0</v>
      </c>
      <c r="T18" s="1155">
        <v>0</v>
      </c>
    </row>
    <row r="19" spans="1:20" s="575" customFormat="1" ht="18.75" customHeight="1">
      <c r="A19" s="283">
        <v>5</v>
      </c>
      <c r="B19" s="773" t="s">
        <v>752</v>
      </c>
      <c r="C19" s="1114">
        <f t="shared" si="2"/>
        <v>0</v>
      </c>
      <c r="D19" s="1114">
        <f t="shared" si="2"/>
        <v>0</v>
      </c>
      <c r="E19" s="1155">
        <v>0</v>
      </c>
      <c r="F19" s="1155">
        <v>0</v>
      </c>
      <c r="G19" s="1155">
        <v>0</v>
      </c>
      <c r="H19" s="1155">
        <v>0</v>
      </c>
      <c r="I19" s="1155">
        <v>0</v>
      </c>
      <c r="J19" s="1155">
        <v>0</v>
      </c>
      <c r="K19" s="1155">
        <v>0</v>
      </c>
      <c r="L19" s="1155">
        <v>0</v>
      </c>
      <c r="M19" s="1155">
        <v>0</v>
      </c>
      <c r="N19" s="1155">
        <v>0</v>
      </c>
      <c r="O19" s="1155"/>
      <c r="P19" s="1155">
        <v>0</v>
      </c>
      <c r="Q19" s="1155">
        <v>0</v>
      </c>
      <c r="R19" s="1155">
        <v>0</v>
      </c>
      <c r="S19" s="1155">
        <v>0</v>
      </c>
      <c r="T19" s="1155">
        <v>0</v>
      </c>
    </row>
    <row r="20" spans="1:20" s="575" customFormat="1" ht="19.5" customHeight="1">
      <c r="A20" s="283">
        <v>6</v>
      </c>
      <c r="B20" s="773" t="s">
        <v>753</v>
      </c>
      <c r="C20" s="1114">
        <f t="shared" si="2"/>
        <v>0</v>
      </c>
      <c r="D20" s="1114">
        <f t="shared" si="2"/>
        <v>0</v>
      </c>
      <c r="E20" s="1155">
        <v>0</v>
      </c>
      <c r="F20" s="1155">
        <v>0</v>
      </c>
      <c r="G20" s="1155">
        <v>0</v>
      </c>
      <c r="H20" s="1155">
        <v>0</v>
      </c>
      <c r="I20" s="1155">
        <v>0</v>
      </c>
      <c r="J20" s="1155">
        <v>0</v>
      </c>
      <c r="K20" s="1155">
        <v>0</v>
      </c>
      <c r="L20" s="1155">
        <v>0</v>
      </c>
      <c r="M20" s="1155">
        <v>0</v>
      </c>
      <c r="N20" s="1155">
        <v>0</v>
      </c>
      <c r="O20" s="1155">
        <v>0</v>
      </c>
      <c r="P20" s="1155">
        <v>0</v>
      </c>
      <c r="Q20" s="1155">
        <v>0</v>
      </c>
      <c r="R20" s="1155">
        <v>0</v>
      </c>
      <c r="S20" s="1155">
        <v>0</v>
      </c>
      <c r="T20" s="1155">
        <v>0</v>
      </c>
    </row>
    <row r="21" spans="1:20" s="575" customFormat="1" ht="18.75" customHeight="1">
      <c r="A21" s="283">
        <v>7</v>
      </c>
      <c r="B21" s="773" t="s">
        <v>754</v>
      </c>
      <c r="C21" s="1114">
        <f t="shared" si="2"/>
        <v>0</v>
      </c>
      <c r="D21" s="1114">
        <f t="shared" si="2"/>
        <v>0</v>
      </c>
      <c r="E21" s="1155">
        <v>0</v>
      </c>
      <c r="F21" s="1155">
        <v>0</v>
      </c>
      <c r="G21" s="1155">
        <v>0</v>
      </c>
      <c r="H21" s="1155">
        <v>0</v>
      </c>
      <c r="I21" s="1155">
        <v>0</v>
      </c>
      <c r="J21" s="1155">
        <v>0</v>
      </c>
      <c r="K21" s="1155">
        <v>0</v>
      </c>
      <c r="L21" s="1155">
        <v>0</v>
      </c>
      <c r="M21" s="1155">
        <v>0</v>
      </c>
      <c r="N21" s="1155">
        <v>0</v>
      </c>
      <c r="O21" s="1155">
        <v>0</v>
      </c>
      <c r="P21" s="1155">
        <v>0</v>
      </c>
      <c r="Q21" s="1155">
        <v>0</v>
      </c>
      <c r="R21" s="1155">
        <v>0</v>
      </c>
      <c r="S21" s="1155">
        <v>0</v>
      </c>
      <c r="T21" s="1155">
        <v>0</v>
      </c>
    </row>
    <row r="22" spans="1:20" s="575" customFormat="1" ht="18" customHeight="1">
      <c r="A22" s="283">
        <v>8</v>
      </c>
      <c r="B22" s="773" t="s">
        <v>755</v>
      </c>
      <c r="C22" s="1114">
        <f t="shared" si="2"/>
        <v>0</v>
      </c>
      <c r="D22" s="1114">
        <f t="shared" si="2"/>
        <v>0</v>
      </c>
      <c r="E22" s="1155">
        <v>0</v>
      </c>
      <c r="F22" s="1155">
        <v>0</v>
      </c>
      <c r="G22" s="1155">
        <v>0</v>
      </c>
      <c r="H22" s="1155">
        <v>0</v>
      </c>
      <c r="I22" s="1155">
        <v>0</v>
      </c>
      <c r="J22" s="1155">
        <v>0</v>
      </c>
      <c r="K22" s="1155">
        <v>0</v>
      </c>
      <c r="L22" s="1155">
        <v>0</v>
      </c>
      <c r="M22" s="1155">
        <v>0</v>
      </c>
      <c r="N22" s="1155">
        <v>0</v>
      </c>
      <c r="O22" s="1155">
        <v>0</v>
      </c>
      <c r="P22" s="1155">
        <v>0</v>
      </c>
      <c r="Q22" s="1155">
        <v>0</v>
      </c>
      <c r="R22" s="1155">
        <v>0</v>
      </c>
      <c r="S22" s="1155">
        <v>0</v>
      </c>
      <c r="T22" s="1155">
        <v>0</v>
      </c>
    </row>
    <row r="23" spans="1:20" s="575" customFormat="1" ht="19.5" customHeight="1">
      <c r="A23" s="283">
        <v>9</v>
      </c>
      <c r="B23" s="773" t="s">
        <v>756</v>
      </c>
      <c r="C23" s="1114">
        <f t="shared" si="2"/>
        <v>0</v>
      </c>
      <c r="D23" s="1114">
        <f t="shared" si="2"/>
        <v>0</v>
      </c>
      <c r="E23" s="1155">
        <v>0</v>
      </c>
      <c r="F23" s="1155">
        <v>0</v>
      </c>
      <c r="G23" s="1155">
        <v>0</v>
      </c>
      <c r="H23" s="1155">
        <v>0</v>
      </c>
      <c r="I23" s="1155">
        <v>0</v>
      </c>
      <c r="J23" s="1155">
        <v>0</v>
      </c>
      <c r="K23" s="1155">
        <v>0</v>
      </c>
      <c r="L23" s="1155">
        <v>0</v>
      </c>
      <c r="M23" s="1155">
        <v>0</v>
      </c>
      <c r="N23" s="1155">
        <v>0</v>
      </c>
      <c r="O23" s="1155">
        <v>0</v>
      </c>
      <c r="P23" s="1155">
        <v>0</v>
      </c>
      <c r="Q23" s="1155">
        <v>0</v>
      </c>
      <c r="R23" s="1155">
        <v>0</v>
      </c>
      <c r="S23" s="1155">
        <v>0</v>
      </c>
      <c r="T23" s="1155">
        <v>0</v>
      </c>
    </row>
    <row r="24" spans="1:20" s="575" customFormat="1" ht="20.25" customHeight="1" thickBot="1">
      <c r="A24" s="775">
        <v>10</v>
      </c>
      <c r="B24" s="776" t="s">
        <v>757</v>
      </c>
      <c r="C24" s="1156">
        <f t="shared" si="2"/>
        <v>0</v>
      </c>
      <c r="D24" s="1156">
        <f t="shared" si="2"/>
        <v>0</v>
      </c>
      <c r="E24" s="1157">
        <v>0</v>
      </c>
      <c r="F24" s="1157">
        <v>0</v>
      </c>
      <c r="G24" s="1157">
        <v>0</v>
      </c>
      <c r="H24" s="1157">
        <v>0</v>
      </c>
      <c r="I24" s="1157">
        <v>0</v>
      </c>
      <c r="J24" s="1157">
        <v>0</v>
      </c>
      <c r="K24" s="1157">
        <v>0</v>
      </c>
      <c r="L24" s="1157">
        <v>0</v>
      </c>
      <c r="M24" s="1157">
        <v>0</v>
      </c>
      <c r="N24" s="1157">
        <v>0</v>
      </c>
      <c r="O24" s="1157">
        <v>0</v>
      </c>
      <c r="P24" s="1157">
        <v>0</v>
      </c>
      <c r="Q24" s="1157">
        <v>0</v>
      </c>
      <c r="R24" s="1157">
        <v>0</v>
      </c>
      <c r="S24" s="1157">
        <v>0</v>
      </c>
      <c r="T24" s="1157">
        <v>0</v>
      </c>
    </row>
    <row r="25" spans="1:20" ht="17.25" customHeight="1" thickTop="1">
      <c r="A25" s="577"/>
      <c r="B25" s="1703"/>
      <c r="C25" s="1703"/>
      <c r="D25" s="1703"/>
      <c r="E25" s="1703"/>
      <c r="F25" s="1703"/>
      <c r="G25" s="1703"/>
      <c r="H25" s="1094"/>
      <c r="I25" s="1094"/>
      <c r="J25" s="683"/>
      <c r="K25" s="1094"/>
      <c r="L25" s="1753" t="str">
        <f>'Thong tin'!B9</f>
        <v>Bình Thuận, ngày 04 tháng 8 năm 2016</v>
      </c>
      <c r="M25" s="1753"/>
      <c r="N25" s="1753"/>
      <c r="O25" s="1753"/>
      <c r="P25" s="1753"/>
      <c r="Q25" s="1753"/>
      <c r="R25" s="1753"/>
      <c r="S25" s="1753"/>
      <c r="T25" s="1753"/>
    </row>
    <row r="26" spans="1:20" ht="17.25" customHeight="1">
      <c r="A26" s="577"/>
      <c r="B26" s="1705" t="s">
        <v>43</v>
      </c>
      <c r="C26" s="1705"/>
      <c r="D26" s="1705"/>
      <c r="E26" s="1705"/>
      <c r="F26" s="1705"/>
      <c r="G26" s="1705"/>
      <c r="H26" s="1096"/>
      <c r="I26" s="1096"/>
      <c r="J26" s="1096"/>
      <c r="K26" s="1096"/>
      <c r="L26" s="1706" t="str">
        <f>'Thong tin'!B7</f>
        <v>KT. CỤC TRƯỞNG</v>
      </c>
      <c r="M26" s="1706"/>
      <c r="N26" s="1706"/>
      <c r="O26" s="1706"/>
      <c r="P26" s="1706"/>
      <c r="Q26" s="1706"/>
      <c r="R26" s="1706"/>
      <c r="S26" s="1706"/>
      <c r="T26" s="1706"/>
    </row>
    <row r="27" spans="1:20" s="654" customFormat="1" ht="16.5">
      <c r="A27" s="653"/>
      <c r="B27" s="1709"/>
      <c r="C27" s="1709"/>
      <c r="D27" s="1709"/>
      <c r="E27" s="1709"/>
      <c r="F27" s="1709"/>
      <c r="G27" s="1158"/>
      <c r="H27" s="1158"/>
      <c r="I27" s="1158"/>
      <c r="J27" s="1158"/>
      <c r="K27" s="1158"/>
      <c r="L27" s="1706" t="str">
        <f>'Thong tin'!B8</f>
        <v>PHÓ CỤC TRƯỞNG</v>
      </c>
      <c r="M27" s="1706"/>
      <c r="N27" s="1706"/>
      <c r="O27" s="1706"/>
      <c r="P27" s="1706"/>
      <c r="Q27" s="1706"/>
      <c r="R27" s="1706"/>
      <c r="S27" s="1706"/>
      <c r="T27" s="1706"/>
    </row>
    <row r="28" spans="1:20" s="654" customFormat="1" ht="16.5">
      <c r="A28" s="653"/>
      <c r="B28" s="1098"/>
      <c r="C28" s="1098"/>
      <c r="D28" s="1098"/>
      <c r="E28" s="1098"/>
      <c r="F28" s="1098"/>
      <c r="G28" s="1158"/>
      <c r="H28" s="1158"/>
      <c r="I28" s="1158"/>
      <c r="J28" s="1158"/>
      <c r="K28" s="1158"/>
      <c r="L28" s="1097"/>
      <c r="M28" s="1097"/>
      <c r="N28" s="1097"/>
      <c r="O28" s="1097"/>
      <c r="P28" s="1097"/>
      <c r="Q28" s="1097"/>
      <c r="R28" s="1097"/>
      <c r="S28" s="1097"/>
      <c r="T28" s="1097"/>
    </row>
    <row r="29" spans="1:20" s="654" customFormat="1" ht="16.5">
      <c r="A29" s="653"/>
      <c r="B29" s="1098"/>
      <c r="C29" s="1098"/>
      <c r="D29" s="1098"/>
      <c r="E29" s="1098"/>
      <c r="F29" s="1098"/>
      <c r="G29" s="1158"/>
      <c r="H29" s="1158"/>
      <c r="I29" s="1158"/>
      <c r="J29" s="1158"/>
      <c r="K29" s="1158"/>
      <c r="L29" s="1097"/>
      <c r="M29" s="1097"/>
      <c r="N29" s="1097"/>
      <c r="O29" s="1097"/>
      <c r="P29" s="1097"/>
      <c r="Q29" s="1097"/>
      <c r="R29" s="1097"/>
      <c r="S29" s="1097"/>
      <c r="T29" s="1097"/>
    </row>
    <row r="30" spans="1:20" s="654" customFormat="1" ht="16.5">
      <c r="A30" s="653"/>
      <c r="B30" s="1158"/>
      <c r="C30" s="1158"/>
      <c r="D30" s="1158"/>
      <c r="E30" s="1158"/>
      <c r="F30" s="1158"/>
      <c r="G30" s="1158"/>
      <c r="H30" s="1158"/>
      <c r="I30" s="1158"/>
      <c r="J30" s="1158"/>
      <c r="K30" s="1158"/>
      <c r="L30" s="1158"/>
      <c r="M30" s="1158"/>
      <c r="N30" s="1158"/>
      <c r="O30" s="1158"/>
      <c r="P30" s="1158"/>
      <c r="Q30" s="1158"/>
      <c r="R30" s="1158"/>
      <c r="S30" s="1158"/>
      <c r="T30" s="1158"/>
    </row>
    <row r="31" spans="2:20" ht="16.5">
      <c r="B31" s="683"/>
      <c r="C31" s="683"/>
      <c r="D31" s="683"/>
      <c r="E31" s="683"/>
      <c r="F31" s="683"/>
      <c r="G31" s="683"/>
      <c r="H31" s="683"/>
      <c r="I31" s="683"/>
      <c r="J31" s="683"/>
      <c r="K31" s="683"/>
      <c r="L31" s="683"/>
      <c r="M31" s="683"/>
      <c r="N31" s="683"/>
      <c r="O31" s="683"/>
      <c r="P31" s="683"/>
      <c r="Q31" s="683"/>
      <c r="R31" s="683"/>
      <c r="S31" s="683"/>
      <c r="T31" s="683"/>
    </row>
    <row r="32" spans="2:20" ht="16.5">
      <c r="B32" s="1636" t="str">
        <f>'Thong tin'!B5</f>
        <v>Trần Quốc Bảo</v>
      </c>
      <c r="C32" s="1636"/>
      <c r="D32" s="1636"/>
      <c r="E32" s="1636"/>
      <c r="F32" s="1636"/>
      <c r="G32" s="1636"/>
      <c r="H32" s="683"/>
      <c r="I32" s="683"/>
      <c r="J32" s="683"/>
      <c r="K32" s="683"/>
      <c r="L32" s="1636" t="str">
        <f>'Thong tin'!B6</f>
        <v>Trần Nam</v>
      </c>
      <c r="M32" s="1636"/>
      <c r="N32" s="1636"/>
      <c r="O32" s="1636"/>
      <c r="P32" s="1636"/>
      <c r="Q32" s="1636"/>
      <c r="R32" s="1636"/>
      <c r="S32" s="1636"/>
      <c r="T32" s="1636"/>
    </row>
    <row r="33" spans="2:20" ht="18.75">
      <c r="B33" s="578"/>
      <c r="C33" s="578"/>
      <c r="D33" s="578"/>
      <c r="E33" s="578"/>
      <c r="F33" s="578"/>
      <c r="G33" s="578"/>
      <c r="H33" s="647"/>
      <c r="I33" s="578"/>
      <c r="J33" s="578"/>
      <c r="K33" s="578"/>
      <c r="L33" s="578"/>
      <c r="M33" s="578"/>
      <c r="N33" s="578"/>
      <c r="O33" s="578"/>
      <c r="P33" s="578"/>
      <c r="Q33" s="578"/>
      <c r="R33" s="578"/>
      <c r="S33" s="578"/>
      <c r="T33" s="578"/>
    </row>
    <row r="34" spans="2:20" ht="18">
      <c r="B34" s="578"/>
      <c r="C34" s="578"/>
      <c r="D34" s="578"/>
      <c r="E34" s="578"/>
      <c r="F34" s="578"/>
      <c r="G34" s="578"/>
      <c r="H34" s="578"/>
      <c r="I34" s="578"/>
      <c r="J34" s="578"/>
      <c r="K34" s="578"/>
      <c r="L34" s="578"/>
      <c r="M34" s="578"/>
      <c r="N34" s="578"/>
      <c r="O34" s="578"/>
      <c r="P34" s="578"/>
      <c r="Q34" s="578"/>
      <c r="R34" s="578"/>
      <c r="S34" s="578"/>
      <c r="T34" s="578"/>
    </row>
  </sheetData>
  <sheetProtection/>
  <mergeCells count="35">
    <mergeCell ref="D7:D10"/>
    <mergeCell ref="B32:G32"/>
    <mergeCell ref="L32:T32"/>
    <mergeCell ref="B26:G26"/>
    <mergeCell ref="L26:T26"/>
    <mergeCell ref="B27:F27"/>
    <mergeCell ref="L27:T27"/>
    <mergeCell ref="A11:B11"/>
    <mergeCell ref="A12:B12"/>
    <mergeCell ref="B25:G25"/>
    <mergeCell ref="L25:T25"/>
    <mergeCell ref="E8:F8"/>
    <mergeCell ref="Q9:R9"/>
    <mergeCell ref="S9:T9"/>
    <mergeCell ref="E9:E10"/>
    <mergeCell ref="F9:F10"/>
    <mergeCell ref="I9:J9"/>
    <mergeCell ref="K9:L9"/>
    <mergeCell ref="A1:D1"/>
    <mergeCell ref="F5:O5"/>
    <mergeCell ref="A6:B10"/>
    <mergeCell ref="C6:D6"/>
    <mergeCell ref="E6:T6"/>
    <mergeCell ref="G9:H9"/>
    <mergeCell ref="C7:C10"/>
    <mergeCell ref="M9:M10"/>
    <mergeCell ref="N9:N10"/>
    <mergeCell ref="O9:P9"/>
    <mergeCell ref="E1:O3"/>
    <mergeCell ref="E4:O4"/>
    <mergeCell ref="G8:L8"/>
    <mergeCell ref="M8:N8"/>
    <mergeCell ref="O8:T8"/>
    <mergeCell ref="E7:L7"/>
    <mergeCell ref="M7:T7"/>
  </mergeCells>
  <printOptions horizontalCentered="1"/>
  <pageMargins left="0.55" right="0.28" top="0.21" bottom="0.18" header="0.11" footer="0.26"/>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sheetPr>
    <tabColor indexed="63"/>
  </sheetPr>
  <dimension ref="A1:L37"/>
  <sheetViews>
    <sheetView view="pageBreakPreview" zoomScaleSheetLayoutView="100" zoomScalePageLayoutView="0" workbookViewId="0" topLeftCell="A1">
      <selection activeCell="H27" sqref="H27"/>
    </sheetView>
  </sheetViews>
  <sheetFormatPr defaultColWidth="9.00390625" defaultRowHeight="15.75"/>
  <cols>
    <col min="1" max="1" width="3.75390625" style="664" customWidth="1"/>
    <col min="2" max="2" width="23.625" style="656" customWidth="1"/>
    <col min="3" max="3" width="10.75390625" style="656" customWidth="1"/>
    <col min="4" max="4" width="14.125" style="656" customWidth="1"/>
    <col min="5" max="5" width="9.125" style="656" customWidth="1"/>
    <col min="6" max="6" width="10.75390625" style="656" customWidth="1"/>
    <col min="7" max="9" width="9.875" style="656" customWidth="1"/>
    <col min="10" max="10" width="12.25390625" style="656" customWidth="1"/>
    <col min="11" max="11" width="9.25390625" style="656" customWidth="1"/>
    <col min="12" max="12" width="11.50390625" style="656" customWidth="1"/>
    <col min="13" max="16384" width="9.00390625" style="656" customWidth="1"/>
  </cols>
  <sheetData>
    <row r="1" spans="1:12" ht="20.25" customHeight="1">
      <c r="A1" s="712" t="s">
        <v>324</v>
      </c>
      <c r="B1" s="712"/>
      <c r="C1" s="712"/>
      <c r="D1" s="1761" t="s">
        <v>449</v>
      </c>
      <c r="E1" s="1761"/>
      <c r="F1" s="1761"/>
      <c r="G1" s="1761"/>
      <c r="H1" s="1761"/>
      <c r="I1" s="1761"/>
      <c r="J1" s="591" t="s">
        <v>450</v>
      </c>
      <c r="K1" s="655"/>
      <c r="L1" s="655"/>
    </row>
    <row r="2" spans="1:12" ht="18.75" customHeight="1">
      <c r="A2" s="706" t="s">
        <v>342</v>
      </c>
      <c r="B2" s="710"/>
      <c r="C2" s="710"/>
      <c r="D2" s="1828" t="s">
        <v>325</v>
      </c>
      <c r="E2" s="1828"/>
      <c r="F2" s="1828"/>
      <c r="G2" s="1828"/>
      <c r="H2" s="1828"/>
      <c r="I2" s="1828"/>
      <c r="J2" s="1804" t="str">
        <f>'Thong tin'!B4</f>
        <v>Cục THADS tỉnh Bình Thuận</v>
      </c>
      <c r="K2" s="1804"/>
      <c r="L2" s="1804"/>
    </row>
    <row r="3" spans="1:12" ht="17.25">
      <c r="A3" s="711" t="s">
        <v>343</v>
      </c>
      <c r="B3" s="711"/>
      <c r="C3" s="711"/>
      <c r="D3" s="1693" t="str">
        <f>'Thong tin'!B3</f>
        <v>10 tháng / năm 2016</v>
      </c>
      <c r="E3" s="1694"/>
      <c r="F3" s="1694"/>
      <c r="G3" s="1694"/>
      <c r="H3" s="1694"/>
      <c r="I3" s="1694"/>
      <c r="J3" s="594" t="s">
        <v>468</v>
      </c>
      <c r="K3" s="594"/>
      <c r="L3" s="594"/>
    </row>
    <row r="4" spans="1:12" ht="15.75">
      <c r="A4" s="713" t="s">
        <v>677</v>
      </c>
      <c r="B4" s="713"/>
      <c r="C4" s="713"/>
      <c r="D4" s="1831"/>
      <c r="E4" s="1831"/>
      <c r="F4" s="1831"/>
      <c r="G4" s="1831"/>
      <c r="H4" s="1831"/>
      <c r="I4" s="1831"/>
      <c r="J4" s="1715" t="s">
        <v>410</v>
      </c>
      <c r="K4" s="1715"/>
      <c r="L4" s="1715"/>
    </row>
    <row r="5" spans="1:12" ht="15.75">
      <c r="A5" s="657"/>
      <c r="B5" s="657"/>
      <c r="C5" s="658"/>
      <c r="D5" s="658"/>
      <c r="E5" s="593"/>
      <c r="J5" s="659" t="s">
        <v>454</v>
      </c>
      <c r="K5" s="628"/>
      <c r="L5" s="628"/>
    </row>
    <row r="6" spans="1:12" ht="24.75" customHeight="1">
      <c r="A6" s="1834" t="s">
        <v>72</v>
      </c>
      <c r="B6" s="1835"/>
      <c r="C6" s="1833" t="s">
        <v>455</v>
      </c>
      <c r="D6" s="1833"/>
      <c r="E6" s="1833"/>
      <c r="F6" s="1833"/>
      <c r="G6" s="1833"/>
      <c r="H6" s="1833"/>
      <c r="I6" s="1833" t="s">
        <v>326</v>
      </c>
      <c r="J6" s="1833"/>
      <c r="K6" s="1833"/>
      <c r="L6" s="1833"/>
    </row>
    <row r="7" spans="1:12" ht="17.25" customHeight="1">
      <c r="A7" s="1836"/>
      <c r="B7" s="1837"/>
      <c r="C7" s="1833" t="s">
        <v>38</v>
      </c>
      <c r="D7" s="1833"/>
      <c r="E7" s="1833" t="s">
        <v>7</v>
      </c>
      <c r="F7" s="1833"/>
      <c r="G7" s="1833"/>
      <c r="H7" s="1833"/>
      <c r="I7" s="1833" t="s">
        <v>327</v>
      </c>
      <c r="J7" s="1833"/>
      <c r="K7" s="1833" t="s">
        <v>328</v>
      </c>
      <c r="L7" s="1833"/>
    </row>
    <row r="8" spans="1:12" ht="31.5" customHeight="1">
      <c r="A8" s="1836"/>
      <c r="B8" s="1837"/>
      <c r="C8" s="1833"/>
      <c r="D8" s="1833"/>
      <c r="E8" s="1833" t="s">
        <v>329</v>
      </c>
      <c r="F8" s="1833"/>
      <c r="G8" s="1833" t="s">
        <v>330</v>
      </c>
      <c r="H8" s="1833"/>
      <c r="I8" s="1833"/>
      <c r="J8" s="1833"/>
      <c r="K8" s="1833"/>
      <c r="L8" s="1833"/>
    </row>
    <row r="9" spans="1:12" ht="24.75" customHeight="1">
      <c r="A9" s="1838"/>
      <c r="B9" s="1839"/>
      <c r="C9" s="660" t="s">
        <v>331</v>
      </c>
      <c r="D9" s="660" t="s">
        <v>10</v>
      </c>
      <c r="E9" s="660" t="s">
        <v>3</v>
      </c>
      <c r="F9" s="660" t="s">
        <v>332</v>
      </c>
      <c r="G9" s="660" t="s">
        <v>3</v>
      </c>
      <c r="H9" s="660" t="s">
        <v>332</v>
      </c>
      <c r="I9" s="660" t="s">
        <v>3</v>
      </c>
      <c r="J9" s="660" t="s">
        <v>332</v>
      </c>
      <c r="K9" s="660" t="s">
        <v>3</v>
      </c>
      <c r="L9" s="660" t="s">
        <v>332</v>
      </c>
    </row>
    <row r="10" spans="1:12" s="662" customFormat="1" ht="15.75">
      <c r="A10" s="1784" t="s">
        <v>6</v>
      </c>
      <c r="B10" s="1785"/>
      <c r="C10" s="661">
        <v>1</v>
      </c>
      <c r="D10" s="661">
        <v>2</v>
      </c>
      <c r="E10" s="661">
        <v>3</v>
      </c>
      <c r="F10" s="661">
        <v>4</v>
      </c>
      <c r="G10" s="661">
        <v>5</v>
      </c>
      <c r="H10" s="661">
        <v>6</v>
      </c>
      <c r="I10" s="661">
        <v>7</v>
      </c>
      <c r="J10" s="661">
        <v>8</v>
      </c>
      <c r="K10" s="661">
        <v>9</v>
      </c>
      <c r="L10" s="661">
        <v>10</v>
      </c>
    </row>
    <row r="11" spans="1:12" s="662" customFormat="1" ht="20.25" customHeight="1">
      <c r="A11" s="1829" t="s">
        <v>37</v>
      </c>
      <c r="B11" s="1830"/>
      <c r="C11" s="766">
        <f>C12+C13</f>
        <v>0</v>
      </c>
      <c r="D11" s="766">
        <f aca="true" t="shared" si="0" ref="D11:L11">D12+D13</f>
        <v>0</v>
      </c>
      <c r="E11" s="766">
        <f t="shared" si="0"/>
        <v>0</v>
      </c>
      <c r="F11" s="766">
        <f t="shared" si="0"/>
        <v>0</v>
      </c>
      <c r="G11" s="766">
        <f t="shared" si="0"/>
        <v>0</v>
      </c>
      <c r="H11" s="766">
        <f t="shared" si="0"/>
        <v>0</v>
      </c>
      <c r="I11" s="766">
        <f t="shared" si="0"/>
        <v>0</v>
      </c>
      <c r="J11" s="766">
        <f t="shared" si="0"/>
        <v>0</v>
      </c>
      <c r="K11" s="766">
        <f t="shared" si="0"/>
        <v>0</v>
      </c>
      <c r="L11" s="766">
        <f t="shared" si="0"/>
        <v>0</v>
      </c>
    </row>
    <row r="12" spans="1:12" s="663" customFormat="1" ht="20.25" customHeight="1">
      <c r="A12" s="781" t="s">
        <v>0</v>
      </c>
      <c r="B12" s="767" t="s">
        <v>98</v>
      </c>
      <c r="C12" s="782">
        <f>E12+G12</f>
        <v>0</v>
      </c>
      <c r="D12" s="782">
        <f>F12+H12</f>
        <v>0</v>
      </c>
      <c r="E12" s="783">
        <v>0</v>
      </c>
      <c r="F12" s="783">
        <v>0</v>
      </c>
      <c r="G12" s="783">
        <v>0</v>
      </c>
      <c r="H12" s="783">
        <v>0</v>
      </c>
      <c r="I12" s="783">
        <v>0</v>
      </c>
      <c r="J12" s="783">
        <v>0</v>
      </c>
      <c r="K12" s="783">
        <v>0</v>
      </c>
      <c r="L12" s="783">
        <v>0</v>
      </c>
    </row>
    <row r="13" spans="1:12" s="663" customFormat="1" ht="21" customHeight="1">
      <c r="A13" s="784" t="s">
        <v>1</v>
      </c>
      <c r="B13" s="772" t="s">
        <v>19</v>
      </c>
      <c r="C13" s="782">
        <f>C14+C15+C16+C17+C18+C19+C20+C21+C22+C23</f>
        <v>0</v>
      </c>
      <c r="D13" s="782">
        <f aca="true" t="shared" si="1" ref="D13:L13">D14+D15+D16+D17+D18+D19+D20+D21+D22+D23</f>
        <v>0</v>
      </c>
      <c r="E13" s="782">
        <f t="shared" si="1"/>
        <v>0</v>
      </c>
      <c r="F13" s="782">
        <f t="shared" si="1"/>
        <v>0</v>
      </c>
      <c r="G13" s="782">
        <f t="shared" si="1"/>
        <v>0</v>
      </c>
      <c r="H13" s="782">
        <f t="shared" si="1"/>
        <v>0</v>
      </c>
      <c r="I13" s="782">
        <f t="shared" si="1"/>
        <v>0</v>
      </c>
      <c r="J13" s="782">
        <f t="shared" si="1"/>
        <v>0</v>
      </c>
      <c r="K13" s="782">
        <f t="shared" si="1"/>
        <v>0</v>
      </c>
      <c r="L13" s="782">
        <f t="shared" si="1"/>
        <v>0</v>
      </c>
    </row>
    <row r="14" spans="1:12" s="663" customFormat="1" ht="19.5" customHeight="1">
      <c r="A14" s="785">
        <v>1</v>
      </c>
      <c r="B14" s="773" t="s">
        <v>748</v>
      </c>
      <c r="C14" s="782">
        <f>E14+G14</f>
        <v>0</v>
      </c>
      <c r="D14" s="782">
        <f>F14+H14</f>
        <v>0</v>
      </c>
      <c r="E14" s="783">
        <v>0</v>
      </c>
      <c r="F14" s="783">
        <v>0</v>
      </c>
      <c r="G14" s="783">
        <v>0</v>
      </c>
      <c r="H14" s="783">
        <v>0</v>
      </c>
      <c r="I14" s="783">
        <v>0</v>
      </c>
      <c r="J14" s="783">
        <v>0</v>
      </c>
      <c r="K14" s="783">
        <v>0</v>
      </c>
      <c r="L14" s="783">
        <v>0</v>
      </c>
    </row>
    <row r="15" spans="1:12" s="663" customFormat="1" ht="19.5" customHeight="1">
      <c r="A15" s="785">
        <v>2</v>
      </c>
      <c r="B15" s="773" t="s">
        <v>749</v>
      </c>
      <c r="C15" s="782">
        <f aca="true" t="shared" si="2" ref="C15:D23">E15+G15</f>
        <v>0</v>
      </c>
      <c r="D15" s="782">
        <f t="shared" si="2"/>
        <v>0</v>
      </c>
      <c r="E15" s="783">
        <v>0</v>
      </c>
      <c r="F15" s="783">
        <v>0</v>
      </c>
      <c r="G15" s="783">
        <v>0</v>
      </c>
      <c r="H15" s="783">
        <v>0</v>
      </c>
      <c r="I15" s="783">
        <v>0</v>
      </c>
      <c r="J15" s="783">
        <v>0</v>
      </c>
      <c r="K15" s="783">
        <v>0</v>
      </c>
      <c r="L15" s="783">
        <v>0</v>
      </c>
    </row>
    <row r="16" spans="1:12" s="663" customFormat="1" ht="20.25" customHeight="1">
      <c r="A16" s="785">
        <v>3</v>
      </c>
      <c r="B16" s="773" t="s">
        <v>750</v>
      </c>
      <c r="C16" s="782">
        <f t="shared" si="2"/>
        <v>0</v>
      </c>
      <c r="D16" s="782">
        <f t="shared" si="2"/>
        <v>0</v>
      </c>
      <c r="E16" s="783">
        <v>0</v>
      </c>
      <c r="F16" s="783">
        <v>0</v>
      </c>
      <c r="G16" s="783">
        <v>0</v>
      </c>
      <c r="H16" s="783">
        <v>0</v>
      </c>
      <c r="I16" s="783">
        <v>0</v>
      </c>
      <c r="J16" s="783">
        <v>0</v>
      </c>
      <c r="K16" s="783">
        <v>0</v>
      </c>
      <c r="L16" s="783">
        <v>0</v>
      </c>
    </row>
    <row r="17" spans="1:12" s="663" customFormat="1" ht="19.5" customHeight="1">
      <c r="A17" s="785">
        <v>4</v>
      </c>
      <c r="B17" s="773" t="s">
        <v>751</v>
      </c>
      <c r="C17" s="782">
        <f t="shared" si="2"/>
        <v>0</v>
      </c>
      <c r="D17" s="782">
        <f t="shared" si="2"/>
        <v>0</v>
      </c>
      <c r="E17" s="783">
        <v>0</v>
      </c>
      <c r="F17" s="783">
        <v>0</v>
      </c>
      <c r="G17" s="783">
        <v>0</v>
      </c>
      <c r="H17" s="783">
        <v>0</v>
      </c>
      <c r="I17" s="783">
        <v>0</v>
      </c>
      <c r="J17" s="783">
        <v>0</v>
      </c>
      <c r="K17" s="783">
        <v>0</v>
      </c>
      <c r="L17" s="783">
        <v>0</v>
      </c>
    </row>
    <row r="18" spans="1:12" s="663" customFormat="1" ht="20.25" customHeight="1">
      <c r="A18" s="785">
        <v>5</v>
      </c>
      <c r="B18" s="773" t="s">
        <v>752</v>
      </c>
      <c r="C18" s="782">
        <f t="shared" si="2"/>
        <v>0</v>
      </c>
      <c r="D18" s="782">
        <f t="shared" si="2"/>
        <v>0</v>
      </c>
      <c r="E18" s="783">
        <v>0</v>
      </c>
      <c r="F18" s="783">
        <v>0</v>
      </c>
      <c r="G18" s="783">
        <v>0</v>
      </c>
      <c r="H18" s="783">
        <v>0</v>
      </c>
      <c r="I18" s="783">
        <v>0</v>
      </c>
      <c r="J18" s="783">
        <v>0</v>
      </c>
      <c r="K18" s="783">
        <v>0</v>
      </c>
      <c r="L18" s="783">
        <v>0</v>
      </c>
    </row>
    <row r="19" spans="1:12" s="663" customFormat="1" ht="20.25" customHeight="1">
      <c r="A19" s="785">
        <v>6</v>
      </c>
      <c r="B19" s="773" t="s">
        <v>753</v>
      </c>
      <c r="C19" s="782">
        <f t="shared" si="2"/>
        <v>0</v>
      </c>
      <c r="D19" s="782">
        <f t="shared" si="2"/>
        <v>0</v>
      </c>
      <c r="E19" s="783">
        <v>0</v>
      </c>
      <c r="F19" s="783">
        <v>0</v>
      </c>
      <c r="G19" s="783">
        <v>0</v>
      </c>
      <c r="H19" s="783">
        <v>0</v>
      </c>
      <c r="I19" s="783">
        <v>0</v>
      </c>
      <c r="J19" s="783">
        <v>0</v>
      </c>
      <c r="K19" s="783">
        <v>0</v>
      </c>
      <c r="L19" s="783">
        <v>0</v>
      </c>
    </row>
    <row r="20" spans="1:12" s="663" customFormat="1" ht="21" customHeight="1">
      <c r="A20" s="785">
        <v>7</v>
      </c>
      <c r="B20" s="773" t="s">
        <v>754</v>
      </c>
      <c r="C20" s="782">
        <f t="shared" si="2"/>
        <v>0</v>
      </c>
      <c r="D20" s="782">
        <f t="shared" si="2"/>
        <v>0</v>
      </c>
      <c r="E20" s="783">
        <v>0</v>
      </c>
      <c r="F20" s="783">
        <v>0</v>
      </c>
      <c r="G20" s="783">
        <v>0</v>
      </c>
      <c r="H20" s="783">
        <v>0</v>
      </c>
      <c r="I20" s="783">
        <v>0</v>
      </c>
      <c r="J20" s="783">
        <v>0</v>
      </c>
      <c r="K20" s="783">
        <v>0</v>
      </c>
      <c r="L20" s="783">
        <v>0</v>
      </c>
    </row>
    <row r="21" spans="1:12" s="663" customFormat="1" ht="20.25" customHeight="1">
      <c r="A21" s="785">
        <v>8</v>
      </c>
      <c r="B21" s="773" t="s">
        <v>755</v>
      </c>
      <c r="C21" s="782">
        <f t="shared" si="2"/>
        <v>0</v>
      </c>
      <c r="D21" s="782">
        <f t="shared" si="2"/>
        <v>0</v>
      </c>
      <c r="E21" s="783">
        <v>0</v>
      </c>
      <c r="F21" s="783">
        <v>0</v>
      </c>
      <c r="G21" s="783">
        <v>0</v>
      </c>
      <c r="H21" s="783">
        <v>0</v>
      </c>
      <c r="I21" s="783">
        <v>0</v>
      </c>
      <c r="J21" s="783">
        <v>0</v>
      </c>
      <c r="K21" s="783">
        <v>0</v>
      </c>
      <c r="L21" s="783">
        <v>0</v>
      </c>
    </row>
    <row r="22" spans="1:12" ht="20.25" customHeight="1">
      <c r="A22" s="785">
        <v>9</v>
      </c>
      <c r="B22" s="773" t="s">
        <v>756</v>
      </c>
      <c r="C22" s="782">
        <f t="shared" si="2"/>
        <v>0</v>
      </c>
      <c r="D22" s="782">
        <f t="shared" si="2"/>
        <v>0</v>
      </c>
      <c r="E22" s="783">
        <v>0</v>
      </c>
      <c r="F22" s="783">
        <v>0</v>
      </c>
      <c r="G22" s="783">
        <v>0</v>
      </c>
      <c r="H22" s="783">
        <v>0</v>
      </c>
      <c r="I22" s="783">
        <v>0</v>
      </c>
      <c r="J22" s="783">
        <v>0</v>
      </c>
      <c r="K22" s="783">
        <v>0</v>
      </c>
      <c r="L22" s="783">
        <v>0</v>
      </c>
    </row>
    <row r="23" spans="1:12" s="592" customFormat="1" ht="20.25" customHeight="1" thickBot="1">
      <c r="A23" s="786">
        <v>10</v>
      </c>
      <c r="B23" s="776" t="s">
        <v>757</v>
      </c>
      <c r="C23" s="787">
        <f t="shared" si="2"/>
        <v>0</v>
      </c>
      <c r="D23" s="787">
        <f t="shared" si="2"/>
        <v>0</v>
      </c>
      <c r="E23" s="788">
        <v>0</v>
      </c>
      <c r="F23" s="788">
        <v>0</v>
      </c>
      <c r="G23" s="788">
        <v>0</v>
      </c>
      <c r="H23" s="788">
        <v>0</v>
      </c>
      <c r="I23" s="788">
        <v>0</v>
      </c>
      <c r="J23" s="788">
        <v>0</v>
      </c>
      <c r="K23" s="788">
        <v>0</v>
      </c>
      <c r="L23" s="788">
        <v>0</v>
      </c>
    </row>
    <row r="24" spans="1:12" s="592" customFormat="1" ht="19.5" customHeight="1" thickTop="1">
      <c r="A24" s="606"/>
      <c r="B24" s="611"/>
      <c r="C24" s="611"/>
      <c r="D24" s="611"/>
      <c r="E24" s="692"/>
      <c r="F24" s="608"/>
      <c r="G24" s="608"/>
      <c r="H24" s="1826" t="str">
        <f>'Thong tin'!B9</f>
        <v>Bình Thuận, ngày 04 tháng 8 năm 2016</v>
      </c>
      <c r="I24" s="1826"/>
      <c r="J24" s="1826"/>
      <c r="K24" s="1826"/>
      <c r="L24" s="1826"/>
    </row>
    <row r="25" spans="1:12" s="592" customFormat="1" ht="15" customHeight="1">
      <c r="A25" s="606"/>
      <c r="B25" s="1841" t="s">
        <v>333</v>
      </c>
      <c r="C25" s="1841"/>
      <c r="D25" s="1841"/>
      <c r="E25" s="692"/>
      <c r="F25" s="608"/>
      <c r="G25" s="608"/>
      <c r="H25" s="1827" t="str">
        <f>'Thong tin'!B7</f>
        <v>KT. CỤC TRƯỞNG</v>
      </c>
      <c r="I25" s="1827"/>
      <c r="J25" s="1827"/>
      <c r="K25" s="1827"/>
      <c r="L25" s="1827"/>
    </row>
    <row r="26" spans="1:12" s="592" customFormat="1" ht="15" customHeight="1">
      <c r="A26" s="606"/>
      <c r="B26" s="609"/>
      <c r="C26" s="609"/>
      <c r="D26" s="692"/>
      <c r="E26" s="692"/>
      <c r="F26" s="608"/>
      <c r="G26" s="608"/>
      <c r="H26" s="1827" t="str">
        <f>'Thong tin'!B8</f>
        <v>PHÓ CỤC TRƯỞNG</v>
      </c>
      <c r="I26" s="1827"/>
      <c r="J26" s="1827"/>
      <c r="K26" s="1827"/>
      <c r="L26" s="1827"/>
    </row>
    <row r="27" spans="1:12" s="592" customFormat="1" ht="15" customHeight="1">
      <c r="A27" s="606"/>
      <c r="B27" s="609"/>
      <c r="C27" s="609"/>
      <c r="D27" s="692"/>
      <c r="E27" s="692"/>
      <c r="F27" s="608"/>
      <c r="G27" s="608"/>
      <c r="H27" s="610"/>
      <c r="I27" s="610"/>
      <c r="J27" s="610"/>
      <c r="K27" s="610"/>
      <c r="L27" s="610"/>
    </row>
    <row r="28" spans="2:12" ht="19.5">
      <c r="B28" s="1832"/>
      <c r="C28" s="1832"/>
      <c r="D28" s="1832"/>
      <c r="E28" s="691"/>
      <c r="F28" s="691"/>
      <c r="G28" s="691"/>
      <c r="H28" s="691"/>
      <c r="I28" s="691"/>
      <c r="J28" s="693"/>
      <c r="K28" s="691"/>
      <c r="L28" s="691"/>
    </row>
    <row r="29" spans="2:12" ht="18.75">
      <c r="B29" s="691"/>
      <c r="C29" s="691"/>
      <c r="D29" s="691"/>
      <c r="E29" s="691"/>
      <c r="F29" s="691"/>
      <c r="G29" s="691"/>
      <c r="H29" s="691"/>
      <c r="I29" s="691"/>
      <c r="J29" s="691"/>
      <c r="K29" s="691"/>
      <c r="L29" s="691"/>
    </row>
    <row r="30" spans="2:12" ht="18.75">
      <c r="B30" s="691"/>
      <c r="C30" s="691"/>
      <c r="D30" s="691"/>
      <c r="E30" s="691"/>
      <c r="F30" s="691"/>
      <c r="G30" s="691"/>
      <c r="H30" s="691"/>
      <c r="I30" s="691"/>
      <c r="J30" s="691"/>
      <c r="K30" s="691"/>
      <c r="L30" s="691"/>
    </row>
    <row r="31" spans="1:12" s="579" customFormat="1" ht="18.75" hidden="1">
      <c r="A31" s="627" t="s">
        <v>47</v>
      </c>
      <c r="B31" s="681"/>
      <c r="C31" s="681"/>
      <c r="D31" s="681"/>
      <c r="E31" s="681"/>
      <c r="F31" s="681"/>
      <c r="G31" s="681"/>
      <c r="H31" s="681"/>
      <c r="I31" s="681"/>
      <c r="J31" s="681"/>
      <c r="K31" s="681"/>
      <c r="L31" s="681"/>
    </row>
    <row r="32" spans="1:12" s="579" customFormat="1" ht="15" customHeight="1" hidden="1">
      <c r="A32" s="582"/>
      <c r="B32" s="1842" t="s">
        <v>334</v>
      </c>
      <c r="C32" s="1842"/>
      <c r="D32" s="1842"/>
      <c r="E32" s="1842"/>
      <c r="F32" s="1842"/>
      <c r="G32" s="1842"/>
      <c r="H32" s="1842"/>
      <c r="I32" s="1842"/>
      <c r="J32" s="1842"/>
      <c r="K32" s="694"/>
      <c r="L32" s="607"/>
    </row>
    <row r="33" spans="2:12" s="579" customFormat="1" ht="18.75" hidden="1">
      <c r="B33" s="686" t="s">
        <v>335</v>
      </c>
      <c r="C33" s="681"/>
      <c r="D33" s="681"/>
      <c r="E33" s="681"/>
      <c r="F33" s="681"/>
      <c r="G33" s="681"/>
      <c r="H33" s="681"/>
      <c r="I33" s="681"/>
      <c r="J33" s="681"/>
      <c r="K33" s="681"/>
      <c r="L33" s="681"/>
    </row>
    <row r="34" spans="2:12" ht="18.75" hidden="1">
      <c r="B34" s="686" t="s">
        <v>336</v>
      </c>
      <c r="C34" s="691"/>
      <c r="D34" s="691"/>
      <c r="E34" s="691"/>
      <c r="F34" s="691"/>
      <c r="G34" s="691"/>
      <c r="H34" s="691"/>
      <c r="I34" s="691"/>
      <c r="J34" s="691"/>
      <c r="K34" s="691"/>
      <c r="L34" s="691"/>
    </row>
    <row r="35" spans="2:12" ht="18.75" hidden="1">
      <c r="B35" s="691"/>
      <c r="C35" s="691"/>
      <c r="D35" s="691"/>
      <c r="E35" s="691"/>
      <c r="F35" s="691"/>
      <c r="G35" s="691"/>
      <c r="H35" s="691"/>
      <c r="I35" s="691"/>
      <c r="J35" s="691"/>
      <c r="K35" s="691"/>
      <c r="L35" s="691"/>
    </row>
    <row r="36" spans="2:12" ht="18.75">
      <c r="B36" s="1840" t="str">
        <f>'Thong tin'!B5</f>
        <v>Trần Quốc Bảo</v>
      </c>
      <c r="C36" s="1840"/>
      <c r="D36" s="1840"/>
      <c r="E36" s="687"/>
      <c r="F36" s="687"/>
      <c r="G36" s="681"/>
      <c r="H36" s="1840" t="str">
        <f>'Thong tin'!B6</f>
        <v>Trần Nam</v>
      </c>
      <c r="I36" s="1840"/>
      <c r="J36" s="1840"/>
      <c r="K36" s="1840"/>
      <c r="L36" s="1840"/>
    </row>
    <row r="37" spans="2:12" ht="18.75">
      <c r="B37" s="665"/>
      <c r="C37" s="665"/>
      <c r="D37" s="665"/>
      <c r="E37" s="665"/>
      <c r="F37" s="665"/>
      <c r="G37" s="665"/>
      <c r="H37" s="665"/>
      <c r="I37" s="665"/>
      <c r="J37" s="665"/>
      <c r="K37" s="665"/>
      <c r="L37" s="665"/>
    </row>
  </sheetData>
  <sheetProtection/>
  <mergeCells count="25">
    <mergeCell ref="B36:D36"/>
    <mergeCell ref="H36:L36"/>
    <mergeCell ref="B25:D25"/>
    <mergeCell ref="H25:L25"/>
    <mergeCell ref="B32:J32"/>
    <mergeCell ref="A6:B9"/>
    <mergeCell ref="C6:H6"/>
    <mergeCell ref="I6:L6"/>
    <mergeCell ref="K7:L8"/>
    <mergeCell ref="A10:B10"/>
    <mergeCell ref="A11:B11"/>
    <mergeCell ref="D4:I4"/>
    <mergeCell ref="B28:D28"/>
    <mergeCell ref="C7:D8"/>
    <mergeCell ref="E7:H7"/>
    <mergeCell ref="I7:J8"/>
    <mergeCell ref="E8:F8"/>
    <mergeCell ref="G8:H8"/>
    <mergeCell ref="J4:L4"/>
    <mergeCell ref="H24:L24"/>
    <mergeCell ref="H26:L26"/>
    <mergeCell ref="D1:I1"/>
    <mergeCell ref="D2:I2"/>
    <mergeCell ref="J2:L2"/>
    <mergeCell ref="D3:I3"/>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0"/>
  <sheetViews>
    <sheetView view="pageBreakPreview" zoomScaleSheetLayoutView="100" zoomScalePageLayoutView="0" workbookViewId="0" topLeftCell="A1">
      <selection activeCell="F28" sqref="F28"/>
    </sheetView>
  </sheetViews>
  <sheetFormatPr defaultColWidth="9.00390625" defaultRowHeight="15.75"/>
  <cols>
    <col min="1" max="1" width="4.25390625" style="592" customWidth="1"/>
    <col min="2" max="2" width="28.50390625" style="592" customWidth="1"/>
    <col min="3" max="3" width="12.25390625" style="592" customWidth="1"/>
    <col min="4" max="4" width="12.75390625" style="592" customWidth="1"/>
    <col min="5" max="5" width="13.00390625" style="592" customWidth="1"/>
    <col min="6" max="6" width="12.75390625" style="592" customWidth="1"/>
    <col min="7" max="7" width="12.875" style="592" customWidth="1"/>
    <col min="8" max="8" width="11.625" style="592" customWidth="1"/>
    <col min="9" max="9" width="12.625" style="592" customWidth="1"/>
    <col min="10" max="10" width="13.875" style="592" customWidth="1"/>
    <col min="11" max="16384" width="9.00390625" style="592" customWidth="1"/>
  </cols>
  <sheetData>
    <row r="1" spans="1:10" ht="16.5" customHeight="1">
      <c r="A1" s="1844" t="s">
        <v>638</v>
      </c>
      <c r="B1" s="1844"/>
      <c r="C1" s="1849" t="s">
        <v>639</v>
      </c>
      <c r="D1" s="1849"/>
      <c r="E1" s="1849"/>
      <c r="F1" s="1849"/>
      <c r="G1" s="1849"/>
      <c r="H1" s="1849"/>
      <c r="I1" s="1845" t="s">
        <v>672</v>
      </c>
      <c r="J1" s="1804"/>
    </row>
    <row r="2" spans="1:10" ht="15" customHeight="1">
      <c r="A2" s="706" t="s">
        <v>342</v>
      </c>
      <c r="B2" s="707"/>
      <c r="C2" s="1849"/>
      <c r="D2" s="1849"/>
      <c r="E2" s="1849"/>
      <c r="F2" s="1849"/>
      <c r="G2" s="1849"/>
      <c r="H2" s="1849"/>
      <c r="I2" s="656" t="str">
        <f>'Thong tin'!B4</f>
        <v>Cục THADS tỉnh Bình Thuận</v>
      </c>
      <c r="J2" s="656"/>
    </row>
    <row r="3" spans="1:10" ht="15" customHeight="1">
      <c r="A3" s="706" t="s">
        <v>343</v>
      </c>
      <c r="B3" s="706"/>
      <c r="C3" s="1846" t="str">
        <f>'Thong tin'!B3</f>
        <v>10 tháng / năm 2016</v>
      </c>
      <c r="D3" s="1847"/>
      <c r="E3" s="1847"/>
      <c r="F3" s="1847"/>
      <c r="G3" s="1847"/>
      <c r="H3" s="1847"/>
      <c r="I3" s="1848" t="s">
        <v>640</v>
      </c>
      <c r="J3" s="1848"/>
    </row>
    <row r="4" spans="1:9" ht="15" customHeight="1">
      <c r="A4" s="1843" t="s">
        <v>679</v>
      </c>
      <c r="B4" s="1843"/>
      <c r="C4" s="1850"/>
      <c r="D4" s="1850"/>
      <c r="E4" s="1850"/>
      <c r="F4" s="1850"/>
      <c r="G4" s="1850"/>
      <c r="H4" s="1850"/>
      <c r="I4" s="656" t="s">
        <v>410</v>
      </c>
    </row>
    <row r="5" spans="1:10" ht="15" customHeight="1" thickBot="1">
      <c r="A5" s="1851"/>
      <c r="B5" s="1851"/>
      <c r="C5" s="666"/>
      <c r="D5" s="666"/>
      <c r="E5" s="666"/>
      <c r="F5" s="666"/>
      <c r="G5" s="666"/>
      <c r="H5" s="667"/>
      <c r="I5" s="1852" t="s">
        <v>641</v>
      </c>
      <c r="J5" s="1852"/>
    </row>
    <row r="6" spans="1:10" ht="30" customHeight="1" thickTop="1">
      <c r="A6" s="1853" t="s">
        <v>72</v>
      </c>
      <c r="B6" s="1854"/>
      <c r="C6" s="1857" t="s">
        <v>642</v>
      </c>
      <c r="D6" s="1857"/>
      <c r="E6" s="1857"/>
      <c r="F6" s="1857" t="s">
        <v>643</v>
      </c>
      <c r="G6" s="1857"/>
      <c r="H6" s="1857"/>
      <c r="I6" s="1857"/>
      <c r="J6" s="1858" t="s">
        <v>644</v>
      </c>
    </row>
    <row r="7" spans="1:10" ht="24" customHeight="1">
      <c r="A7" s="1855"/>
      <c r="B7" s="1856"/>
      <c r="C7" s="1860" t="s">
        <v>227</v>
      </c>
      <c r="D7" s="1860" t="s">
        <v>7</v>
      </c>
      <c r="E7" s="1860"/>
      <c r="F7" s="1860" t="s">
        <v>645</v>
      </c>
      <c r="G7" s="1860"/>
      <c r="H7" s="1860"/>
      <c r="I7" s="1860" t="s">
        <v>646</v>
      </c>
      <c r="J7" s="1859"/>
    </row>
    <row r="8" spans="1:10" ht="24" customHeight="1">
      <c r="A8" s="1855"/>
      <c r="B8" s="1856"/>
      <c r="C8" s="1860"/>
      <c r="D8" s="1860" t="s">
        <v>647</v>
      </c>
      <c r="E8" s="1860" t="s">
        <v>648</v>
      </c>
      <c r="F8" s="1860" t="s">
        <v>37</v>
      </c>
      <c r="G8" s="1860" t="s">
        <v>7</v>
      </c>
      <c r="H8" s="1860"/>
      <c r="I8" s="1860"/>
      <c r="J8" s="1859"/>
    </row>
    <row r="9" spans="1:10" ht="45.75" customHeight="1">
      <c r="A9" s="1855"/>
      <c r="B9" s="1856"/>
      <c r="C9" s="1860"/>
      <c r="D9" s="1861"/>
      <c r="E9" s="1860"/>
      <c r="F9" s="1860"/>
      <c r="G9" s="668" t="s">
        <v>649</v>
      </c>
      <c r="H9" s="668" t="s">
        <v>650</v>
      </c>
      <c r="I9" s="1860"/>
      <c r="J9" s="1859"/>
    </row>
    <row r="10" spans="1:10" ht="14.25" customHeight="1">
      <c r="A10" s="1862" t="s">
        <v>651</v>
      </c>
      <c r="B10" s="1863"/>
      <c r="C10" s="669">
        <v>1</v>
      </c>
      <c r="D10" s="669">
        <v>2</v>
      </c>
      <c r="E10" s="669">
        <v>3</v>
      </c>
      <c r="F10" s="669">
        <v>4</v>
      </c>
      <c r="G10" s="669">
        <v>5</v>
      </c>
      <c r="H10" s="669">
        <v>6</v>
      </c>
      <c r="I10" s="669">
        <v>7</v>
      </c>
      <c r="J10" s="670">
        <v>8</v>
      </c>
    </row>
    <row r="11" spans="1:10" s="599" customFormat="1" ht="20.25" customHeight="1">
      <c r="A11" s="1864" t="s">
        <v>38</v>
      </c>
      <c r="B11" s="1865"/>
      <c r="C11" s="766">
        <f>C13+C12</f>
        <v>0</v>
      </c>
      <c r="D11" s="766">
        <f aca="true" t="shared" si="0" ref="D11:J11">D13+D12</f>
        <v>0</v>
      </c>
      <c r="E11" s="766">
        <f t="shared" si="0"/>
        <v>0</v>
      </c>
      <c r="F11" s="766">
        <f t="shared" si="0"/>
        <v>0</v>
      </c>
      <c r="G11" s="766">
        <f t="shared" si="0"/>
        <v>0</v>
      </c>
      <c r="H11" s="766">
        <f t="shared" si="0"/>
        <v>0</v>
      </c>
      <c r="I11" s="766">
        <f t="shared" si="0"/>
        <v>0</v>
      </c>
      <c r="J11" s="766">
        <f t="shared" si="0"/>
        <v>0</v>
      </c>
    </row>
    <row r="12" spans="1:10" s="599" customFormat="1" ht="20.25" customHeight="1">
      <c r="A12" s="206" t="s">
        <v>0</v>
      </c>
      <c r="B12" s="767" t="s">
        <v>293</v>
      </c>
      <c r="C12" s="768">
        <f>D12+E12</f>
        <v>0</v>
      </c>
      <c r="D12" s="769">
        <v>0</v>
      </c>
      <c r="E12" s="769">
        <v>0</v>
      </c>
      <c r="F12" s="768">
        <f>G12+H12</f>
        <v>0</v>
      </c>
      <c r="G12" s="769">
        <v>0</v>
      </c>
      <c r="H12" s="770">
        <v>0</v>
      </c>
      <c r="I12" s="770">
        <v>0</v>
      </c>
      <c r="J12" s="770">
        <v>0</v>
      </c>
    </row>
    <row r="13" spans="1:10" s="599" customFormat="1" ht="21" customHeight="1">
      <c r="A13" s="771" t="s">
        <v>1</v>
      </c>
      <c r="B13" s="772" t="s">
        <v>19</v>
      </c>
      <c r="C13" s="768">
        <f>C14+C15+C16+C17+C18+C19+C20+C21+C22+C23</f>
        <v>0</v>
      </c>
      <c r="D13" s="768">
        <f aca="true" t="shared" si="1" ref="D13:J13">D14+D15+D16+D17+D18+D19+D20+D21+D22+D23</f>
        <v>0</v>
      </c>
      <c r="E13" s="768">
        <f t="shared" si="1"/>
        <v>0</v>
      </c>
      <c r="F13" s="768">
        <f t="shared" si="1"/>
        <v>0</v>
      </c>
      <c r="G13" s="768">
        <f t="shared" si="1"/>
        <v>0</v>
      </c>
      <c r="H13" s="768">
        <f t="shared" si="1"/>
        <v>0</v>
      </c>
      <c r="I13" s="768">
        <f t="shared" si="1"/>
        <v>0</v>
      </c>
      <c r="J13" s="768">
        <f t="shared" si="1"/>
        <v>0</v>
      </c>
    </row>
    <row r="14" spans="1:10" s="599" customFormat="1" ht="19.5" customHeight="1">
      <c r="A14" s="283">
        <v>1</v>
      </c>
      <c r="B14" s="773" t="s">
        <v>748</v>
      </c>
      <c r="C14" s="768">
        <f>D14+E14</f>
        <v>0</v>
      </c>
      <c r="D14" s="774">
        <v>0</v>
      </c>
      <c r="E14" s="770">
        <v>0</v>
      </c>
      <c r="F14" s="768">
        <f>G14+H14</f>
        <v>0</v>
      </c>
      <c r="G14" s="769">
        <v>0</v>
      </c>
      <c r="H14" s="770">
        <v>0</v>
      </c>
      <c r="I14" s="770">
        <v>0</v>
      </c>
      <c r="J14" s="770">
        <v>0</v>
      </c>
    </row>
    <row r="15" spans="1:10" s="599" customFormat="1" ht="20.25" customHeight="1">
      <c r="A15" s="283">
        <v>2</v>
      </c>
      <c r="B15" s="773" t="s">
        <v>749</v>
      </c>
      <c r="C15" s="768">
        <f aca="true" t="shared" si="2" ref="C15:C23">D15+E15</f>
        <v>0</v>
      </c>
      <c r="D15" s="774">
        <v>0</v>
      </c>
      <c r="E15" s="770">
        <v>0</v>
      </c>
      <c r="F15" s="768">
        <f aca="true" t="shared" si="3" ref="F15:F23">G15+H15</f>
        <v>0</v>
      </c>
      <c r="G15" s="769">
        <v>0</v>
      </c>
      <c r="H15" s="770">
        <v>0</v>
      </c>
      <c r="I15" s="770">
        <v>0</v>
      </c>
      <c r="J15" s="770">
        <v>0</v>
      </c>
    </row>
    <row r="16" spans="1:10" s="599" customFormat="1" ht="19.5" customHeight="1">
      <c r="A16" s="283">
        <v>3</v>
      </c>
      <c r="B16" s="773" t="s">
        <v>750</v>
      </c>
      <c r="C16" s="768">
        <f t="shared" si="2"/>
        <v>0</v>
      </c>
      <c r="D16" s="774">
        <v>0</v>
      </c>
      <c r="E16" s="770">
        <v>0</v>
      </c>
      <c r="F16" s="768">
        <f t="shared" si="3"/>
        <v>0</v>
      </c>
      <c r="G16" s="769">
        <v>0</v>
      </c>
      <c r="H16" s="770">
        <v>0</v>
      </c>
      <c r="I16" s="770">
        <v>0</v>
      </c>
      <c r="J16" s="770">
        <v>0</v>
      </c>
    </row>
    <row r="17" spans="1:10" s="599" customFormat="1" ht="20.25" customHeight="1">
      <c r="A17" s="283">
        <v>4</v>
      </c>
      <c r="B17" s="773" t="s">
        <v>751</v>
      </c>
      <c r="C17" s="768">
        <f t="shared" si="2"/>
        <v>0</v>
      </c>
      <c r="D17" s="774">
        <v>0</v>
      </c>
      <c r="E17" s="770">
        <v>0</v>
      </c>
      <c r="F17" s="768">
        <f t="shared" si="3"/>
        <v>0</v>
      </c>
      <c r="G17" s="769">
        <v>0</v>
      </c>
      <c r="H17" s="770">
        <v>0</v>
      </c>
      <c r="I17" s="770">
        <v>0</v>
      </c>
      <c r="J17" s="770">
        <v>0</v>
      </c>
    </row>
    <row r="18" spans="1:10" s="599" customFormat="1" ht="19.5" customHeight="1">
      <c r="A18" s="283">
        <v>5</v>
      </c>
      <c r="B18" s="773" t="s">
        <v>752</v>
      </c>
      <c r="C18" s="768">
        <f t="shared" si="2"/>
        <v>0</v>
      </c>
      <c r="D18" s="774">
        <v>0</v>
      </c>
      <c r="E18" s="770">
        <v>0</v>
      </c>
      <c r="F18" s="768">
        <f t="shared" si="3"/>
        <v>0</v>
      </c>
      <c r="G18" s="769">
        <v>0</v>
      </c>
      <c r="H18" s="770">
        <v>0</v>
      </c>
      <c r="I18" s="770">
        <v>0</v>
      </c>
      <c r="J18" s="770">
        <v>0</v>
      </c>
    </row>
    <row r="19" spans="1:10" s="599" customFormat="1" ht="20.25" customHeight="1">
      <c r="A19" s="283">
        <v>6</v>
      </c>
      <c r="B19" s="773" t="s">
        <v>753</v>
      </c>
      <c r="C19" s="768">
        <f t="shared" si="2"/>
        <v>0</v>
      </c>
      <c r="D19" s="774">
        <v>0</v>
      </c>
      <c r="E19" s="770">
        <v>0</v>
      </c>
      <c r="F19" s="768">
        <f t="shared" si="3"/>
        <v>0</v>
      </c>
      <c r="G19" s="769">
        <v>0</v>
      </c>
      <c r="H19" s="770">
        <v>0</v>
      </c>
      <c r="I19" s="770">
        <v>0</v>
      </c>
      <c r="J19" s="770">
        <v>0</v>
      </c>
    </row>
    <row r="20" spans="1:10" s="599" customFormat="1" ht="21" customHeight="1">
      <c r="A20" s="283">
        <v>7</v>
      </c>
      <c r="B20" s="773" t="s">
        <v>754</v>
      </c>
      <c r="C20" s="768">
        <f t="shared" si="2"/>
        <v>0</v>
      </c>
      <c r="D20" s="774">
        <v>0</v>
      </c>
      <c r="E20" s="770">
        <v>0</v>
      </c>
      <c r="F20" s="768">
        <f t="shared" si="3"/>
        <v>0</v>
      </c>
      <c r="G20" s="769">
        <v>0</v>
      </c>
      <c r="H20" s="770">
        <v>0</v>
      </c>
      <c r="I20" s="770">
        <v>0</v>
      </c>
      <c r="J20" s="770">
        <v>0</v>
      </c>
    </row>
    <row r="21" spans="1:10" s="599" customFormat="1" ht="21" customHeight="1">
      <c r="A21" s="283">
        <v>8</v>
      </c>
      <c r="B21" s="773" t="s">
        <v>755</v>
      </c>
      <c r="C21" s="768">
        <f t="shared" si="2"/>
        <v>0</v>
      </c>
      <c r="D21" s="774">
        <v>0</v>
      </c>
      <c r="E21" s="770">
        <v>0</v>
      </c>
      <c r="F21" s="768">
        <f t="shared" si="3"/>
        <v>0</v>
      </c>
      <c r="G21" s="769">
        <v>0</v>
      </c>
      <c r="H21" s="770">
        <v>0</v>
      </c>
      <c r="I21" s="770">
        <v>0</v>
      </c>
      <c r="J21" s="770">
        <v>0</v>
      </c>
    </row>
    <row r="22" spans="1:10" s="599" customFormat="1" ht="19.5" customHeight="1">
      <c r="A22" s="283">
        <v>9</v>
      </c>
      <c r="B22" s="773" t="s">
        <v>756</v>
      </c>
      <c r="C22" s="768">
        <f t="shared" si="2"/>
        <v>0</v>
      </c>
      <c r="D22" s="774">
        <v>0</v>
      </c>
      <c r="E22" s="770">
        <v>0</v>
      </c>
      <c r="F22" s="768">
        <f t="shared" si="3"/>
        <v>0</v>
      </c>
      <c r="G22" s="769">
        <v>0</v>
      </c>
      <c r="H22" s="770">
        <v>0</v>
      </c>
      <c r="I22" s="770">
        <v>0</v>
      </c>
      <c r="J22" s="770">
        <v>0</v>
      </c>
    </row>
    <row r="23" spans="1:10" s="599" customFormat="1" ht="21.75" customHeight="1" thickBot="1">
      <c r="A23" s="775">
        <v>10</v>
      </c>
      <c r="B23" s="776" t="s">
        <v>757</v>
      </c>
      <c r="C23" s="777">
        <f t="shared" si="2"/>
        <v>0</v>
      </c>
      <c r="D23" s="778">
        <v>0</v>
      </c>
      <c r="E23" s="779">
        <v>0</v>
      </c>
      <c r="F23" s="777">
        <f t="shared" si="3"/>
        <v>0</v>
      </c>
      <c r="G23" s="780">
        <v>0</v>
      </c>
      <c r="H23" s="779">
        <v>0</v>
      </c>
      <c r="I23" s="779">
        <v>0</v>
      </c>
      <c r="J23" s="779">
        <v>0</v>
      </c>
    </row>
    <row r="24" spans="1:10" ht="18" customHeight="1" thickTop="1">
      <c r="A24" s="606"/>
      <c r="B24" s="1703"/>
      <c r="C24" s="1703"/>
      <c r="D24" s="1159"/>
      <c r="E24" s="1159"/>
      <c r="F24" s="1159"/>
      <c r="G24" s="1753" t="str">
        <f>'Thong tin'!B9</f>
        <v>Bình Thuận, ngày 04 tháng 8 năm 2016</v>
      </c>
      <c r="H24" s="1753"/>
      <c r="I24" s="1753"/>
      <c r="J24" s="1753"/>
    </row>
    <row r="25" spans="1:10" ht="21.75" customHeight="1">
      <c r="A25" s="606"/>
      <c r="B25" s="1705" t="s">
        <v>4</v>
      </c>
      <c r="C25" s="1705"/>
      <c r="D25" s="1159"/>
      <c r="E25" s="1159"/>
      <c r="F25" s="1159"/>
      <c r="G25" s="1706" t="str">
        <f>'Thong tin'!B7</f>
        <v>KT. CỤC TRƯỞNG</v>
      </c>
      <c r="H25" s="1706"/>
      <c r="I25" s="1706"/>
      <c r="J25" s="1706"/>
    </row>
    <row r="26" spans="1:10" ht="20.25" customHeight="1">
      <c r="A26" s="606"/>
      <c r="B26" s="1095"/>
      <c r="C26" s="1095"/>
      <c r="D26" s="1159"/>
      <c r="E26" s="1159"/>
      <c r="F26" s="1159"/>
      <c r="G26" s="1706" t="str">
        <f>'Thong tin'!B8</f>
        <v>PHÓ CỤC TRƯỞNG</v>
      </c>
      <c r="H26" s="1706"/>
      <c r="I26" s="1706"/>
      <c r="J26" s="1706"/>
    </row>
    <row r="27" spans="1:10" ht="18.75" customHeight="1">
      <c r="A27" s="606"/>
      <c r="B27" s="1095"/>
      <c r="C27" s="1095"/>
      <c r="D27" s="1159"/>
      <c r="E27" s="1159"/>
      <c r="F27" s="1159"/>
      <c r="G27" s="1097"/>
      <c r="H27" s="1097"/>
      <c r="I27" s="1097"/>
      <c r="J27" s="1097"/>
    </row>
    <row r="28" spans="1:10" ht="18.75" customHeight="1">
      <c r="A28" s="606"/>
      <c r="B28" s="1095"/>
      <c r="C28" s="1095"/>
      <c r="D28" s="1159"/>
      <c r="E28" s="1159"/>
      <c r="F28" s="1159"/>
      <c r="G28" s="1097"/>
      <c r="H28" s="1097"/>
      <c r="I28" s="1097"/>
      <c r="J28" s="1097"/>
    </row>
    <row r="29" spans="2:10" ht="16.5">
      <c r="B29" s="1866"/>
      <c r="C29" s="1866"/>
      <c r="D29" s="683"/>
      <c r="E29" s="683"/>
      <c r="F29" s="683"/>
      <c r="G29" s="1706"/>
      <c r="H29" s="1706"/>
      <c r="I29" s="1706"/>
      <c r="J29" s="1706"/>
    </row>
    <row r="30" spans="2:10" ht="16.5">
      <c r="B30" s="1636" t="str">
        <f>'Thong tin'!B5</f>
        <v>Trần Quốc Bảo</v>
      </c>
      <c r="C30" s="1636"/>
      <c r="D30" s="682"/>
      <c r="E30" s="682"/>
      <c r="F30" s="682"/>
      <c r="G30" s="1636" t="str">
        <f>'Thong tin'!B6</f>
        <v>Trần Nam</v>
      </c>
      <c r="H30" s="1636"/>
      <c r="I30" s="1636"/>
      <c r="J30" s="1636"/>
    </row>
  </sheetData>
  <sheetProtection/>
  <mergeCells count="32">
    <mergeCell ref="B25:C25"/>
    <mergeCell ref="G25:J25"/>
    <mergeCell ref="B30:C30"/>
    <mergeCell ref="G30:J30"/>
    <mergeCell ref="B29:C29"/>
    <mergeCell ref="G29:J29"/>
    <mergeCell ref="G26:J26"/>
    <mergeCell ref="A10:B10"/>
    <mergeCell ref="A11:B11"/>
    <mergeCell ref="B24:C24"/>
    <mergeCell ref="G24:J24"/>
    <mergeCell ref="D8:D9"/>
    <mergeCell ref="E8:E9"/>
    <mergeCell ref="F8:F9"/>
    <mergeCell ref="G8:H8"/>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99" t="s">
        <v>117</v>
      </c>
      <c r="B1" s="1199"/>
      <c r="C1" s="1199"/>
      <c r="D1" s="1283" t="s">
        <v>462</v>
      </c>
      <c r="E1" s="1283"/>
      <c r="F1" s="1283"/>
      <c r="G1" s="1283"/>
      <c r="H1" s="1283"/>
      <c r="I1" s="1283"/>
      <c r="J1" s="1273" t="s">
        <v>463</v>
      </c>
      <c r="K1" s="1274"/>
      <c r="L1" s="1274"/>
    </row>
    <row r="2" spans="1:13" ht="15.75" customHeight="1">
      <c r="A2" s="1275" t="s">
        <v>408</v>
      </c>
      <c r="B2" s="1275"/>
      <c r="C2" s="1275"/>
      <c r="D2" s="1283"/>
      <c r="E2" s="1283"/>
      <c r="F2" s="1283"/>
      <c r="G2" s="1283"/>
      <c r="H2" s="1283"/>
      <c r="I2" s="1283"/>
      <c r="J2" s="1274" t="s">
        <v>409</v>
      </c>
      <c r="K2" s="1274"/>
      <c r="L2" s="1274"/>
      <c r="M2" s="142"/>
    </row>
    <row r="3" spans="1:13" ht="15.75" customHeight="1">
      <c r="A3" s="1218" t="s">
        <v>360</v>
      </c>
      <c r="B3" s="1218"/>
      <c r="C3" s="1218"/>
      <c r="D3" s="1283"/>
      <c r="E3" s="1283"/>
      <c r="F3" s="1283"/>
      <c r="G3" s="1283"/>
      <c r="H3" s="1283"/>
      <c r="I3" s="1283"/>
      <c r="J3" s="1273" t="s">
        <v>464</v>
      </c>
      <c r="K3" s="1273"/>
      <c r="L3" s="1273"/>
      <c r="M3" s="46"/>
    </row>
    <row r="4" spans="1:13" ht="15.75" customHeight="1">
      <c r="A4" s="1286" t="s">
        <v>362</v>
      </c>
      <c r="B4" s="1286"/>
      <c r="C4" s="1286"/>
      <c r="D4" s="1285"/>
      <c r="E4" s="1285"/>
      <c r="F4" s="1285"/>
      <c r="G4" s="1285"/>
      <c r="H4" s="1285"/>
      <c r="I4" s="1285"/>
      <c r="J4" s="1274" t="s">
        <v>410</v>
      </c>
      <c r="K4" s="1274"/>
      <c r="L4" s="1274"/>
      <c r="M4" s="142"/>
    </row>
    <row r="5" spans="1:13" ht="15.75">
      <c r="A5" s="143"/>
      <c r="B5" s="143"/>
      <c r="C5" s="43"/>
      <c r="D5" s="43"/>
      <c r="E5" s="43"/>
      <c r="F5" s="43"/>
      <c r="G5" s="43"/>
      <c r="H5" s="43"/>
      <c r="I5" s="43"/>
      <c r="J5" s="1284" t="s">
        <v>8</v>
      </c>
      <c r="K5" s="1284"/>
      <c r="L5" s="1284"/>
      <c r="M5" s="142"/>
    </row>
    <row r="6" spans="1:14" ht="15.75">
      <c r="A6" s="1287" t="s">
        <v>72</v>
      </c>
      <c r="B6" s="1288"/>
      <c r="C6" s="1197" t="s">
        <v>411</v>
      </c>
      <c r="D6" s="1272" t="s">
        <v>412</v>
      </c>
      <c r="E6" s="1272"/>
      <c r="F6" s="1272"/>
      <c r="G6" s="1272"/>
      <c r="H6" s="1272"/>
      <c r="I6" s="1272"/>
      <c r="J6" s="1211" t="s">
        <v>115</v>
      </c>
      <c r="K6" s="1211"/>
      <c r="L6" s="1211"/>
      <c r="M6" s="1276" t="s">
        <v>413</v>
      </c>
      <c r="N6" s="1271" t="s">
        <v>414</v>
      </c>
    </row>
    <row r="7" spans="1:14" ht="15.75" customHeight="1">
      <c r="A7" s="1289"/>
      <c r="B7" s="1290"/>
      <c r="C7" s="1197"/>
      <c r="D7" s="1272" t="s">
        <v>7</v>
      </c>
      <c r="E7" s="1272"/>
      <c r="F7" s="1272"/>
      <c r="G7" s="1272"/>
      <c r="H7" s="1272"/>
      <c r="I7" s="1272"/>
      <c r="J7" s="1211"/>
      <c r="K7" s="1211"/>
      <c r="L7" s="1211"/>
      <c r="M7" s="1276"/>
      <c r="N7" s="1271"/>
    </row>
    <row r="8" spans="1:14" s="82" customFormat="1" ht="31.5" customHeight="1">
      <c r="A8" s="1289"/>
      <c r="B8" s="1290"/>
      <c r="C8" s="1197"/>
      <c r="D8" s="1211" t="s">
        <v>113</v>
      </c>
      <c r="E8" s="1211" t="s">
        <v>114</v>
      </c>
      <c r="F8" s="1211"/>
      <c r="G8" s="1211"/>
      <c r="H8" s="1211"/>
      <c r="I8" s="1211"/>
      <c r="J8" s="1211"/>
      <c r="K8" s="1211"/>
      <c r="L8" s="1211"/>
      <c r="M8" s="1276"/>
      <c r="N8" s="1271"/>
    </row>
    <row r="9" spans="1:14" s="82" customFormat="1" ht="15.75" customHeight="1">
      <c r="A9" s="1289"/>
      <c r="B9" s="1290"/>
      <c r="C9" s="1197"/>
      <c r="D9" s="1211"/>
      <c r="E9" s="1211" t="s">
        <v>116</v>
      </c>
      <c r="F9" s="1211" t="s">
        <v>7</v>
      </c>
      <c r="G9" s="1211"/>
      <c r="H9" s="1211"/>
      <c r="I9" s="1211"/>
      <c r="J9" s="1211" t="s">
        <v>7</v>
      </c>
      <c r="K9" s="1211"/>
      <c r="L9" s="1211"/>
      <c r="M9" s="1276"/>
      <c r="N9" s="1271"/>
    </row>
    <row r="10" spans="1:14" s="82" customFormat="1" ht="86.25" customHeight="1">
      <c r="A10" s="1291"/>
      <c r="B10" s="1292"/>
      <c r="C10" s="1197"/>
      <c r="D10" s="1211"/>
      <c r="E10" s="1211"/>
      <c r="F10" s="113" t="s">
        <v>24</v>
      </c>
      <c r="G10" s="113" t="s">
        <v>26</v>
      </c>
      <c r="H10" s="113" t="s">
        <v>18</v>
      </c>
      <c r="I10" s="113" t="s">
        <v>25</v>
      </c>
      <c r="J10" s="113" t="s">
        <v>17</v>
      </c>
      <c r="K10" s="113" t="s">
        <v>22</v>
      </c>
      <c r="L10" s="113" t="s">
        <v>23</v>
      </c>
      <c r="M10" s="1276"/>
      <c r="N10" s="1271"/>
    </row>
    <row r="11" spans="1:32" ht="13.5" customHeight="1">
      <c r="A11" s="1297" t="s">
        <v>5</v>
      </c>
      <c r="B11" s="1298"/>
      <c r="C11" s="144">
        <v>1</v>
      </c>
      <c r="D11" s="144" t="s">
        <v>53</v>
      </c>
      <c r="E11" s="144" t="s">
        <v>58</v>
      </c>
      <c r="F11" s="144" t="s">
        <v>73</v>
      </c>
      <c r="G11" s="144" t="s">
        <v>74</v>
      </c>
      <c r="H11" s="144" t="s">
        <v>75</v>
      </c>
      <c r="I11" s="144" t="s">
        <v>76</v>
      </c>
      <c r="J11" s="144" t="s">
        <v>77</v>
      </c>
      <c r="K11" s="144" t="s">
        <v>78</v>
      </c>
      <c r="L11" s="144" t="s">
        <v>101</v>
      </c>
      <c r="M11" s="145"/>
      <c r="N11" s="146"/>
      <c r="AF11" s="42" t="s">
        <v>374</v>
      </c>
    </row>
    <row r="12" spans="1:14" ht="24" customHeight="1">
      <c r="A12" s="1280" t="s">
        <v>405</v>
      </c>
      <c r="B12" s="1281"/>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278" t="s">
        <v>361</v>
      </c>
      <c r="B13" s="1279"/>
      <c r="C13" s="148">
        <v>59</v>
      </c>
      <c r="D13" s="148">
        <v>43</v>
      </c>
      <c r="E13" s="148">
        <v>0</v>
      </c>
      <c r="F13" s="148">
        <v>5</v>
      </c>
      <c r="G13" s="148">
        <v>2</v>
      </c>
      <c r="H13" s="148">
        <v>7</v>
      </c>
      <c r="I13" s="148">
        <v>2</v>
      </c>
      <c r="J13" s="148">
        <v>10</v>
      </c>
      <c r="K13" s="148">
        <v>44</v>
      </c>
      <c r="L13" s="148">
        <v>5</v>
      </c>
      <c r="M13" s="145"/>
      <c r="N13" s="146"/>
    </row>
    <row r="14" spans="1:37" s="61" customFormat="1" ht="16.5" customHeight="1">
      <c r="A14" s="1295" t="s">
        <v>37</v>
      </c>
      <c r="B14" s="1296"/>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375</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377</v>
      </c>
    </row>
    <row r="18" spans="1:14" s="157" customFormat="1" ht="16.5" customHeight="1">
      <c r="A18" s="156" t="s">
        <v>53</v>
      </c>
      <c r="B18" s="77" t="s">
        <v>407</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378</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379</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380</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382</v>
      </c>
      <c r="AK21" s="157" t="s">
        <v>383</v>
      </c>
      <c r="AL21" s="157" t="s">
        <v>384</v>
      </c>
      <c r="AM21" s="72" t="s">
        <v>385</v>
      </c>
    </row>
    <row r="22" spans="1:39" s="157" customFormat="1" ht="16.5" customHeight="1">
      <c r="A22" s="156" t="s">
        <v>75</v>
      </c>
      <c r="B22" s="77" t="s">
        <v>381</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387</v>
      </c>
    </row>
    <row r="23" spans="1:14" s="157" customFormat="1" ht="16.5" customHeight="1">
      <c r="A23" s="156" t="s">
        <v>76</v>
      </c>
      <c r="B23" s="77" t="s">
        <v>386</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388</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382</v>
      </c>
    </row>
    <row r="25" spans="1:36" s="157" customFormat="1" ht="16.5" customHeight="1">
      <c r="A25" s="156" t="s">
        <v>78</v>
      </c>
      <c r="B25" s="77" t="s">
        <v>389</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391</v>
      </c>
    </row>
    <row r="26" spans="1:44" s="79" customFormat="1" ht="16.5" customHeight="1">
      <c r="A26" s="160" t="s">
        <v>101</v>
      </c>
      <c r="B26" s="77" t="s">
        <v>390</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392</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394</v>
      </c>
      <c r="AI28" s="166">
        <f>82/88</f>
        <v>0.9318181818181818</v>
      </c>
    </row>
    <row r="29" spans="1:13" ht="16.5" customHeight="1">
      <c r="A29" s="1215" t="s">
        <v>465</v>
      </c>
      <c r="B29" s="1299"/>
      <c r="C29" s="1299"/>
      <c r="D29" s="1299"/>
      <c r="E29" s="167"/>
      <c r="F29" s="167"/>
      <c r="G29" s="167"/>
      <c r="H29" s="1277" t="s">
        <v>415</v>
      </c>
      <c r="I29" s="1277"/>
      <c r="J29" s="1277"/>
      <c r="K29" s="1277"/>
      <c r="L29" s="1277"/>
      <c r="M29" s="168"/>
    </row>
    <row r="30" spans="1:12" ht="18.75">
      <c r="A30" s="1299"/>
      <c r="B30" s="1299"/>
      <c r="C30" s="1299"/>
      <c r="D30" s="1299"/>
      <c r="E30" s="167"/>
      <c r="F30" s="167"/>
      <c r="G30" s="167"/>
      <c r="H30" s="1282" t="s">
        <v>416</v>
      </c>
      <c r="I30" s="1282"/>
      <c r="J30" s="1282"/>
      <c r="K30" s="1282"/>
      <c r="L30" s="1282"/>
    </row>
    <row r="31" spans="1:12" s="41" customFormat="1" ht="16.5" customHeight="1">
      <c r="A31" s="1220"/>
      <c r="B31" s="1220"/>
      <c r="C31" s="1220"/>
      <c r="D31" s="1220"/>
      <c r="E31" s="169"/>
      <c r="F31" s="169"/>
      <c r="G31" s="169"/>
      <c r="H31" s="1221"/>
      <c r="I31" s="1221"/>
      <c r="J31" s="1221"/>
      <c r="K31" s="1221"/>
      <c r="L31" s="1221"/>
    </row>
    <row r="32" spans="1:12" ht="18.75">
      <c r="A32" s="98"/>
      <c r="B32" s="1220" t="s">
        <v>397</v>
      </c>
      <c r="C32" s="1220"/>
      <c r="D32" s="1220"/>
      <c r="E32" s="169"/>
      <c r="F32" s="169"/>
      <c r="G32" s="169"/>
      <c r="H32" s="169"/>
      <c r="I32" s="1300" t="s">
        <v>397</v>
      </c>
      <c r="J32" s="1300"/>
      <c r="K32" s="1300"/>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200" t="s">
        <v>350</v>
      </c>
      <c r="B37" s="1200"/>
      <c r="C37" s="1200"/>
      <c r="D37" s="1200"/>
      <c r="E37" s="100"/>
      <c r="F37" s="100"/>
      <c r="G37" s="100"/>
      <c r="H37" s="1201" t="s">
        <v>350</v>
      </c>
      <c r="I37" s="1201"/>
      <c r="J37" s="1201"/>
      <c r="K37" s="1201"/>
      <c r="L37" s="1201"/>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294" t="s">
        <v>59</v>
      </c>
      <c r="C40" s="1294"/>
      <c r="D40" s="1294"/>
      <c r="E40" s="1294"/>
      <c r="F40" s="1294"/>
      <c r="G40" s="1294"/>
      <c r="H40" s="1294"/>
      <c r="I40" s="1294"/>
      <c r="J40" s="1294"/>
      <c r="K40" s="1294"/>
      <c r="L40" s="1294"/>
    </row>
    <row r="41" spans="1:12" ht="16.5" customHeight="1">
      <c r="A41" s="174"/>
      <c r="B41" s="1293" t="s">
        <v>61</v>
      </c>
      <c r="C41" s="1293"/>
      <c r="D41" s="1293"/>
      <c r="E41" s="1293"/>
      <c r="F41" s="1293"/>
      <c r="G41" s="1293"/>
      <c r="H41" s="1293"/>
      <c r="I41" s="1293"/>
      <c r="J41" s="1293"/>
      <c r="K41" s="1293"/>
      <c r="L41" s="1293"/>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30:L30"/>
    <mergeCell ref="H31:L31"/>
    <mergeCell ref="A3:C3"/>
    <mergeCell ref="D1:I3"/>
    <mergeCell ref="J5:L5"/>
    <mergeCell ref="D4:I4"/>
    <mergeCell ref="A4:C4"/>
    <mergeCell ref="J1:L1"/>
    <mergeCell ref="J2:L2"/>
    <mergeCell ref="A6:B10"/>
    <mergeCell ref="J4:L4"/>
    <mergeCell ref="A2:C2"/>
    <mergeCell ref="M6:M10"/>
    <mergeCell ref="H29:L29"/>
    <mergeCell ref="A13:B13"/>
    <mergeCell ref="A12:B12"/>
    <mergeCell ref="J9:L9"/>
    <mergeCell ref="J6:L8"/>
    <mergeCell ref="N6:N10"/>
    <mergeCell ref="A1:C1"/>
    <mergeCell ref="C6:C10"/>
    <mergeCell ref="E9:E10"/>
    <mergeCell ref="D6:I6"/>
    <mergeCell ref="E8:I8"/>
    <mergeCell ref="D8:D10"/>
    <mergeCell ref="F9:I9"/>
    <mergeCell ref="D7:I7"/>
    <mergeCell ref="J3:L3"/>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317" t="s">
        <v>229</v>
      </c>
      <c r="B1" s="1317"/>
      <c r="C1" s="1317"/>
      <c r="D1" s="1312" t="s">
        <v>419</v>
      </c>
      <c r="E1" s="1313"/>
      <c r="F1" s="1313"/>
      <c r="G1" s="1313"/>
      <c r="H1" s="1313"/>
      <c r="I1" s="1313"/>
      <c r="J1" s="1313"/>
      <c r="K1" s="1313"/>
      <c r="L1" s="1313"/>
      <c r="M1" s="1313"/>
      <c r="N1" s="1313"/>
      <c r="O1" s="221"/>
      <c r="P1" s="178" t="s">
        <v>469</v>
      </c>
      <c r="Q1" s="177"/>
      <c r="R1" s="177"/>
      <c r="S1" s="177"/>
      <c r="T1" s="177"/>
      <c r="U1" s="221"/>
    </row>
    <row r="2" spans="1:21" ht="16.5" customHeight="1">
      <c r="A2" s="1314" t="s">
        <v>420</v>
      </c>
      <c r="B2" s="1314"/>
      <c r="C2" s="1314"/>
      <c r="D2" s="1313"/>
      <c r="E2" s="1313"/>
      <c r="F2" s="1313"/>
      <c r="G2" s="1313"/>
      <c r="H2" s="1313"/>
      <c r="I2" s="1313"/>
      <c r="J2" s="1313"/>
      <c r="K2" s="1313"/>
      <c r="L2" s="1313"/>
      <c r="M2" s="1313"/>
      <c r="N2" s="1313"/>
      <c r="O2" s="222"/>
      <c r="P2" s="1305" t="s">
        <v>421</v>
      </c>
      <c r="Q2" s="1305"/>
      <c r="R2" s="1305"/>
      <c r="S2" s="1305"/>
      <c r="T2" s="1305"/>
      <c r="U2" s="222"/>
    </row>
    <row r="3" spans="1:21" ht="16.5" customHeight="1">
      <c r="A3" s="1333" t="s">
        <v>422</v>
      </c>
      <c r="B3" s="1333"/>
      <c r="C3" s="1333"/>
      <c r="D3" s="1318" t="s">
        <v>423</v>
      </c>
      <c r="E3" s="1318"/>
      <c r="F3" s="1318"/>
      <c r="G3" s="1318"/>
      <c r="H3" s="1318"/>
      <c r="I3" s="1318"/>
      <c r="J3" s="1318"/>
      <c r="K3" s="1318"/>
      <c r="L3" s="1318"/>
      <c r="M3" s="1318"/>
      <c r="N3" s="1318"/>
      <c r="O3" s="222"/>
      <c r="P3" s="182" t="s">
        <v>468</v>
      </c>
      <c r="Q3" s="222"/>
      <c r="R3" s="222"/>
      <c r="S3" s="222"/>
      <c r="T3" s="222"/>
      <c r="U3" s="222"/>
    </row>
    <row r="4" spans="1:21" ht="16.5" customHeight="1">
      <c r="A4" s="1319" t="s">
        <v>362</v>
      </c>
      <c r="B4" s="1319"/>
      <c r="C4" s="1319"/>
      <c r="D4" s="1340"/>
      <c r="E4" s="1340"/>
      <c r="F4" s="1340"/>
      <c r="G4" s="1340"/>
      <c r="H4" s="1340"/>
      <c r="I4" s="1340"/>
      <c r="J4" s="1340"/>
      <c r="K4" s="1340"/>
      <c r="L4" s="1340"/>
      <c r="M4" s="1340"/>
      <c r="N4" s="1340"/>
      <c r="O4" s="222"/>
      <c r="P4" s="181" t="s">
        <v>401</v>
      </c>
      <c r="Q4" s="222"/>
      <c r="R4" s="222"/>
      <c r="S4" s="222"/>
      <c r="T4" s="222"/>
      <c r="U4" s="222"/>
    </row>
    <row r="5" spans="12:21" ht="16.5" customHeight="1">
      <c r="L5" s="223"/>
      <c r="M5" s="223"/>
      <c r="N5" s="223"/>
      <c r="O5" s="185"/>
      <c r="P5" s="184" t="s">
        <v>424</v>
      </c>
      <c r="Q5" s="185"/>
      <c r="R5" s="185"/>
      <c r="S5" s="185"/>
      <c r="T5" s="185"/>
      <c r="U5" s="181"/>
    </row>
    <row r="6" spans="1:21" s="226" customFormat="1" ht="15.75" customHeight="1">
      <c r="A6" s="1306" t="s">
        <v>72</v>
      </c>
      <c r="B6" s="1307"/>
      <c r="C6" s="1301" t="s">
        <v>230</v>
      </c>
      <c r="D6" s="1315" t="s">
        <v>231</v>
      </c>
      <c r="E6" s="1316"/>
      <c r="F6" s="1316"/>
      <c r="G6" s="1316"/>
      <c r="H6" s="1316"/>
      <c r="I6" s="1316"/>
      <c r="J6" s="1316"/>
      <c r="K6" s="1316"/>
      <c r="L6" s="1316"/>
      <c r="M6" s="1316"/>
      <c r="N6" s="1316"/>
      <c r="O6" s="1316"/>
      <c r="P6" s="1316"/>
      <c r="Q6" s="1316"/>
      <c r="R6" s="1316"/>
      <c r="S6" s="1316"/>
      <c r="T6" s="1301" t="s">
        <v>232</v>
      </c>
      <c r="U6" s="225"/>
    </row>
    <row r="7" spans="1:20" s="227" customFormat="1" ht="12.75" customHeight="1">
      <c r="A7" s="1308"/>
      <c r="B7" s="1309"/>
      <c r="C7" s="1301"/>
      <c r="D7" s="1337" t="s">
        <v>227</v>
      </c>
      <c r="E7" s="1316" t="s">
        <v>7</v>
      </c>
      <c r="F7" s="1316"/>
      <c r="G7" s="1316"/>
      <c r="H7" s="1316"/>
      <c r="I7" s="1316"/>
      <c r="J7" s="1316"/>
      <c r="K7" s="1316"/>
      <c r="L7" s="1316"/>
      <c r="M7" s="1316"/>
      <c r="N7" s="1316"/>
      <c r="O7" s="1316"/>
      <c r="P7" s="1316"/>
      <c r="Q7" s="1316"/>
      <c r="R7" s="1316"/>
      <c r="S7" s="1316"/>
      <c r="T7" s="1301"/>
    </row>
    <row r="8" spans="1:21" s="227" customFormat="1" ht="43.5" customHeight="1">
      <c r="A8" s="1308"/>
      <c r="B8" s="1309"/>
      <c r="C8" s="1301"/>
      <c r="D8" s="1338"/>
      <c r="E8" s="1304" t="s">
        <v>233</v>
      </c>
      <c r="F8" s="1301"/>
      <c r="G8" s="1301"/>
      <c r="H8" s="1301" t="s">
        <v>234</v>
      </c>
      <c r="I8" s="1301"/>
      <c r="J8" s="1301"/>
      <c r="K8" s="1301" t="s">
        <v>235</v>
      </c>
      <c r="L8" s="1301"/>
      <c r="M8" s="1301" t="s">
        <v>236</v>
      </c>
      <c r="N8" s="1301"/>
      <c r="O8" s="1301"/>
      <c r="P8" s="1301" t="s">
        <v>237</v>
      </c>
      <c r="Q8" s="1301" t="s">
        <v>238</v>
      </c>
      <c r="R8" s="1301" t="s">
        <v>239</v>
      </c>
      <c r="S8" s="1320" t="s">
        <v>240</v>
      </c>
      <c r="T8" s="1301"/>
      <c r="U8" s="1330" t="s">
        <v>425</v>
      </c>
    </row>
    <row r="9" spans="1:21" s="227" customFormat="1" ht="44.25" customHeight="1">
      <c r="A9" s="1310"/>
      <c r="B9" s="1311"/>
      <c r="C9" s="1301"/>
      <c r="D9" s="1339"/>
      <c r="E9" s="228" t="s">
        <v>241</v>
      </c>
      <c r="F9" s="224" t="s">
        <v>242</v>
      </c>
      <c r="G9" s="224" t="s">
        <v>426</v>
      </c>
      <c r="H9" s="224" t="s">
        <v>243</v>
      </c>
      <c r="I9" s="224" t="s">
        <v>244</v>
      </c>
      <c r="J9" s="224" t="s">
        <v>245</v>
      </c>
      <c r="K9" s="224" t="s">
        <v>242</v>
      </c>
      <c r="L9" s="224" t="s">
        <v>246</v>
      </c>
      <c r="M9" s="224" t="s">
        <v>247</v>
      </c>
      <c r="N9" s="224" t="s">
        <v>248</v>
      </c>
      <c r="O9" s="224" t="s">
        <v>427</v>
      </c>
      <c r="P9" s="1301"/>
      <c r="Q9" s="1301"/>
      <c r="R9" s="1301"/>
      <c r="S9" s="1320"/>
      <c r="T9" s="1301"/>
      <c r="U9" s="1331"/>
    </row>
    <row r="10" spans="1:21" s="231" customFormat="1" ht="15.75" customHeight="1">
      <c r="A10" s="1334" t="s">
        <v>6</v>
      </c>
      <c r="B10" s="1335"/>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331"/>
    </row>
    <row r="11" spans="1:21" s="231" customFormat="1" ht="15.75" customHeight="1">
      <c r="A11" s="1302" t="s">
        <v>405</v>
      </c>
      <c r="B11" s="1303"/>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332"/>
    </row>
    <row r="12" spans="1:21" s="231" customFormat="1" ht="15.75" customHeight="1">
      <c r="A12" s="1321" t="s">
        <v>406</v>
      </c>
      <c r="B12" s="1322"/>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327" t="s">
        <v>37</v>
      </c>
      <c r="B13" s="1328"/>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375</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407</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378</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379</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380</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381</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386</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388</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389</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390</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392</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336" t="s">
        <v>393</v>
      </c>
      <c r="C28" s="1336"/>
      <c r="D28" s="1336"/>
      <c r="E28" s="1336"/>
      <c r="F28" s="190"/>
      <c r="G28" s="190"/>
      <c r="H28" s="190"/>
      <c r="I28" s="190"/>
      <c r="J28" s="190"/>
      <c r="K28" s="190" t="s">
        <v>249</v>
      </c>
      <c r="L28" s="191"/>
      <c r="M28" s="1341" t="s">
        <v>428</v>
      </c>
      <c r="N28" s="1341"/>
      <c r="O28" s="1341"/>
      <c r="P28" s="1341"/>
      <c r="Q28" s="1341"/>
      <c r="R28" s="1341"/>
      <c r="S28" s="1341"/>
      <c r="T28" s="1341"/>
    </row>
    <row r="29" spans="1:20" s="242" customFormat="1" ht="18.75" customHeight="1">
      <c r="A29" s="241"/>
      <c r="B29" s="1326" t="s">
        <v>250</v>
      </c>
      <c r="C29" s="1326"/>
      <c r="D29" s="1326"/>
      <c r="E29" s="243"/>
      <c r="F29" s="192"/>
      <c r="G29" s="192"/>
      <c r="H29" s="192"/>
      <c r="I29" s="192"/>
      <c r="J29" s="192"/>
      <c r="K29" s="192"/>
      <c r="L29" s="191"/>
      <c r="M29" s="1329" t="s">
        <v>417</v>
      </c>
      <c r="N29" s="1329"/>
      <c r="O29" s="1329"/>
      <c r="P29" s="1329"/>
      <c r="Q29" s="1329"/>
      <c r="R29" s="1329"/>
      <c r="S29" s="1329"/>
      <c r="T29" s="1329"/>
    </row>
    <row r="30" spans="1:20" s="242" customFormat="1" ht="18.75">
      <c r="A30" s="193"/>
      <c r="B30" s="1323"/>
      <c r="C30" s="1323"/>
      <c r="D30" s="1323"/>
      <c r="E30" s="195"/>
      <c r="F30" s="195"/>
      <c r="G30" s="195"/>
      <c r="H30" s="195"/>
      <c r="I30" s="195"/>
      <c r="J30" s="195"/>
      <c r="K30" s="195"/>
      <c r="L30" s="195"/>
      <c r="M30" s="1324"/>
      <c r="N30" s="1324"/>
      <c r="O30" s="1324"/>
      <c r="P30" s="1324"/>
      <c r="Q30" s="1324"/>
      <c r="R30" s="1324"/>
      <c r="S30" s="1324"/>
      <c r="T30" s="1324"/>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325" t="s">
        <v>397</v>
      </c>
      <c r="C36" s="1325"/>
      <c r="D36" s="1325"/>
      <c r="E36" s="245"/>
      <c r="F36" s="245"/>
      <c r="G36" s="245"/>
      <c r="H36" s="245"/>
      <c r="I36" s="245"/>
      <c r="J36" s="245"/>
      <c r="K36" s="245"/>
      <c r="L36" s="245"/>
      <c r="M36" s="245"/>
      <c r="N36" s="1325" t="s">
        <v>397</v>
      </c>
      <c r="O36" s="1325"/>
      <c r="P36" s="1325"/>
      <c r="Q36" s="1325"/>
      <c r="R36" s="1325"/>
      <c r="S36" s="1325"/>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200" t="s">
        <v>350</v>
      </c>
      <c r="C38" s="1200"/>
      <c r="D38" s="1200"/>
      <c r="E38" s="219"/>
      <c r="F38" s="219"/>
      <c r="G38" s="219"/>
      <c r="H38" s="219"/>
      <c r="I38" s="191"/>
      <c r="J38" s="191"/>
      <c r="K38" s="191"/>
      <c r="L38" s="191"/>
      <c r="M38" s="1201" t="s">
        <v>351</v>
      </c>
      <c r="N38" s="1201"/>
      <c r="O38" s="1201"/>
      <c r="P38" s="1201"/>
      <c r="Q38" s="1201"/>
      <c r="R38" s="1201"/>
      <c r="S38" s="1201"/>
      <c r="T38" s="1201"/>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358" t="s">
        <v>255</v>
      </c>
      <c r="B1" s="1358"/>
      <c r="C1" s="1358"/>
      <c r="D1" s="247"/>
      <c r="E1" s="1346" t="s">
        <v>256</v>
      </c>
      <c r="F1" s="1346"/>
      <c r="G1" s="1346"/>
      <c r="H1" s="1346"/>
      <c r="I1" s="1346"/>
      <c r="J1" s="1346"/>
      <c r="K1" s="1346"/>
      <c r="L1" s="1346"/>
      <c r="M1" s="1346"/>
      <c r="N1" s="1346"/>
      <c r="O1" s="200"/>
      <c r="P1" s="1355" t="s">
        <v>467</v>
      </c>
      <c r="Q1" s="1355"/>
      <c r="R1" s="1355"/>
      <c r="S1" s="1355"/>
      <c r="T1" s="1355"/>
    </row>
    <row r="2" spans="1:20" ht="15.75" customHeight="1">
      <c r="A2" s="1359" t="s">
        <v>429</v>
      </c>
      <c r="B2" s="1359"/>
      <c r="C2" s="1359"/>
      <c r="D2" s="1359"/>
      <c r="E2" s="1361" t="s">
        <v>257</v>
      </c>
      <c r="F2" s="1361"/>
      <c r="G2" s="1361"/>
      <c r="H2" s="1361"/>
      <c r="I2" s="1361"/>
      <c r="J2" s="1361"/>
      <c r="K2" s="1361"/>
      <c r="L2" s="1361"/>
      <c r="M2" s="1361"/>
      <c r="N2" s="1361"/>
      <c r="O2" s="203"/>
      <c r="P2" s="1356" t="s">
        <v>409</v>
      </c>
      <c r="Q2" s="1356"/>
      <c r="R2" s="1356"/>
      <c r="S2" s="1356"/>
      <c r="T2" s="1356"/>
    </row>
    <row r="3" spans="1:20" ht="17.25">
      <c r="A3" s="1359" t="s">
        <v>360</v>
      </c>
      <c r="B3" s="1359"/>
      <c r="C3" s="1359"/>
      <c r="D3" s="248"/>
      <c r="E3" s="1348" t="s">
        <v>361</v>
      </c>
      <c r="F3" s="1348"/>
      <c r="G3" s="1348"/>
      <c r="H3" s="1348"/>
      <c r="I3" s="1348"/>
      <c r="J3" s="1348"/>
      <c r="K3" s="1348"/>
      <c r="L3" s="1348"/>
      <c r="M3" s="1348"/>
      <c r="N3" s="1348"/>
      <c r="O3" s="203"/>
      <c r="P3" s="1357" t="s">
        <v>468</v>
      </c>
      <c r="Q3" s="1357"/>
      <c r="R3" s="1357"/>
      <c r="S3" s="1357"/>
      <c r="T3" s="1357"/>
    </row>
    <row r="4" spans="1:20" ht="18.75" customHeight="1">
      <c r="A4" s="1360" t="s">
        <v>362</v>
      </c>
      <c r="B4" s="1360"/>
      <c r="C4" s="1360"/>
      <c r="D4" s="1362"/>
      <c r="E4" s="1362"/>
      <c r="F4" s="1362"/>
      <c r="G4" s="1362"/>
      <c r="H4" s="1362"/>
      <c r="I4" s="1362"/>
      <c r="J4" s="1362"/>
      <c r="K4" s="1362"/>
      <c r="L4" s="1362"/>
      <c r="M4" s="1362"/>
      <c r="N4" s="1362"/>
      <c r="O4" s="204"/>
      <c r="P4" s="1356" t="s">
        <v>401</v>
      </c>
      <c r="Q4" s="1357"/>
      <c r="R4" s="1357"/>
      <c r="S4" s="1357"/>
      <c r="T4" s="1357"/>
    </row>
    <row r="5" spans="1:23" ht="15">
      <c r="A5" s="217"/>
      <c r="B5" s="217"/>
      <c r="C5" s="249"/>
      <c r="D5" s="249"/>
      <c r="E5" s="217"/>
      <c r="F5" s="217"/>
      <c r="G5" s="217"/>
      <c r="H5" s="217"/>
      <c r="I5" s="217"/>
      <c r="J5" s="217"/>
      <c r="K5" s="217"/>
      <c r="L5" s="217"/>
      <c r="P5" s="1363" t="s">
        <v>424</v>
      </c>
      <c r="Q5" s="1363"/>
      <c r="R5" s="1363"/>
      <c r="S5" s="1363"/>
      <c r="T5" s="1363"/>
      <c r="U5" s="250"/>
      <c r="V5" s="250"/>
      <c r="W5" s="250"/>
    </row>
    <row r="6" spans="1:23" ht="29.25" customHeight="1">
      <c r="A6" s="1306" t="s">
        <v>72</v>
      </c>
      <c r="B6" s="1382"/>
      <c r="C6" s="1377" t="s">
        <v>2</v>
      </c>
      <c r="D6" s="1364" t="s">
        <v>258</v>
      </c>
      <c r="E6" s="1365"/>
      <c r="F6" s="1365"/>
      <c r="G6" s="1365"/>
      <c r="H6" s="1365"/>
      <c r="I6" s="1365"/>
      <c r="J6" s="1366"/>
      <c r="K6" s="1349" t="s">
        <v>259</v>
      </c>
      <c r="L6" s="1350"/>
      <c r="M6" s="1350"/>
      <c r="N6" s="1350"/>
      <c r="O6" s="1350"/>
      <c r="P6" s="1350"/>
      <c r="Q6" s="1350"/>
      <c r="R6" s="1350"/>
      <c r="S6" s="1350"/>
      <c r="T6" s="1351"/>
      <c r="U6" s="251"/>
      <c r="V6" s="252"/>
      <c r="W6" s="252"/>
    </row>
    <row r="7" spans="1:20" ht="19.5" customHeight="1">
      <c r="A7" s="1308"/>
      <c r="B7" s="1383"/>
      <c r="C7" s="1378"/>
      <c r="D7" s="1365" t="s">
        <v>7</v>
      </c>
      <c r="E7" s="1365"/>
      <c r="F7" s="1365"/>
      <c r="G7" s="1365"/>
      <c r="H7" s="1365"/>
      <c r="I7" s="1365"/>
      <c r="J7" s="1366"/>
      <c r="K7" s="1352"/>
      <c r="L7" s="1353"/>
      <c r="M7" s="1353"/>
      <c r="N7" s="1353"/>
      <c r="O7" s="1353"/>
      <c r="P7" s="1353"/>
      <c r="Q7" s="1353"/>
      <c r="R7" s="1353"/>
      <c r="S7" s="1353"/>
      <c r="T7" s="1354"/>
    </row>
    <row r="8" spans="1:20" ht="33" customHeight="1">
      <c r="A8" s="1308"/>
      <c r="B8" s="1383"/>
      <c r="C8" s="1378"/>
      <c r="D8" s="1344" t="s">
        <v>260</v>
      </c>
      <c r="E8" s="1345"/>
      <c r="F8" s="1343" t="s">
        <v>261</v>
      </c>
      <c r="G8" s="1345"/>
      <c r="H8" s="1343" t="s">
        <v>262</v>
      </c>
      <c r="I8" s="1345"/>
      <c r="J8" s="1343" t="s">
        <v>263</v>
      </c>
      <c r="K8" s="1342" t="s">
        <v>264</v>
      </c>
      <c r="L8" s="1342"/>
      <c r="M8" s="1342"/>
      <c r="N8" s="1342" t="s">
        <v>265</v>
      </c>
      <c r="O8" s="1342"/>
      <c r="P8" s="1342"/>
      <c r="Q8" s="1343" t="s">
        <v>266</v>
      </c>
      <c r="R8" s="1347" t="s">
        <v>267</v>
      </c>
      <c r="S8" s="1347" t="s">
        <v>268</v>
      </c>
      <c r="T8" s="1343" t="s">
        <v>269</v>
      </c>
    </row>
    <row r="9" spans="1:20" ht="18.75" customHeight="1">
      <c r="A9" s="1308"/>
      <c r="B9" s="1383"/>
      <c r="C9" s="1378"/>
      <c r="D9" s="1344" t="s">
        <v>270</v>
      </c>
      <c r="E9" s="1343" t="s">
        <v>271</v>
      </c>
      <c r="F9" s="1343" t="s">
        <v>270</v>
      </c>
      <c r="G9" s="1343" t="s">
        <v>271</v>
      </c>
      <c r="H9" s="1343" t="s">
        <v>270</v>
      </c>
      <c r="I9" s="1343" t="s">
        <v>272</v>
      </c>
      <c r="J9" s="1343"/>
      <c r="K9" s="1342"/>
      <c r="L9" s="1342"/>
      <c r="M9" s="1342"/>
      <c r="N9" s="1342"/>
      <c r="O9" s="1342"/>
      <c r="P9" s="1342"/>
      <c r="Q9" s="1343"/>
      <c r="R9" s="1347"/>
      <c r="S9" s="1347"/>
      <c r="T9" s="1343"/>
    </row>
    <row r="10" spans="1:20" ht="23.25" customHeight="1">
      <c r="A10" s="1310"/>
      <c r="B10" s="1384"/>
      <c r="C10" s="1379"/>
      <c r="D10" s="1344"/>
      <c r="E10" s="1343"/>
      <c r="F10" s="1343"/>
      <c r="G10" s="1343"/>
      <c r="H10" s="1343"/>
      <c r="I10" s="1343"/>
      <c r="J10" s="1343"/>
      <c r="K10" s="253" t="s">
        <v>273</v>
      </c>
      <c r="L10" s="253" t="s">
        <v>248</v>
      </c>
      <c r="M10" s="253" t="s">
        <v>274</v>
      </c>
      <c r="N10" s="253" t="s">
        <v>273</v>
      </c>
      <c r="O10" s="253" t="s">
        <v>275</v>
      </c>
      <c r="P10" s="253" t="s">
        <v>276</v>
      </c>
      <c r="Q10" s="1343"/>
      <c r="R10" s="1347"/>
      <c r="S10" s="1347"/>
      <c r="T10" s="1343"/>
    </row>
    <row r="11" spans="1:32" s="210" customFormat="1" ht="17.25" customHeight="1">
      <c r="A11" s="1380" t="s">
        <v>6</v>
      </c>
      <c r="B11" s="1381"/>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370" t="s">
        <v>430</v>
      </c>
      <c r="B12" s="1371"/>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373" t="s">
        <v>406</v>
      </c>
      <c r="B13" s="1374"/>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376" t="s">
        <v>277</v>
      </c>
      <c r="B14" s="1344"/>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375</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407</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378</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379</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380</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381</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386</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388</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389</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390</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392</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394</v>
      </c>
      <c r="AI28" s="199">
        <f>82/88</f>
        <v>0.9318181818181818</v>
      </c>
    </row>
    <row r="29" spans="1:20" ht="15.75" customHeight="1">
      <c r="A29" s="211"/>
      <c r="B29" s="1368" t="s">
        <v>418</v>
      </c>
      <c r="C29" s="1368"/>
      <c r="D29" s="1368"/>
      <c r="E29" s="1368"/>
      <c r="F29" s="267"/>
      <c r="G29" s="267"/>
      <c r="H29" s="267"/>
      <c r="I29" s="267"/>
      <c r="J29" s="267"/>
      <c r="K29" s="267"/>
      <c r="L29" s="215"/>
      <c r="M29" s="1367" t="s">
        <v>431</v>
      </c>
      <c r="N29" s="1367"/>
      <c r="O29" s="1367"/>
      <c r="P29" s="1367"/>
      <c r="Q29" s="1367"/>
      <c r="R29" s="1367"/>
      <c r="S29" s="1367"/>
      <c r="T29" s="1367"/>
    </row>
    <row r="30" spans="1:20" ht="18.75" customHeight="1">
      <c r="A30" s="211"/>
      <c r="B30" s="1369" t="s">
        <v>250</v>
      </c>
      <c r="C30" s="1369"/>
      <c r="D30" s="1369"/>
      <c r="E30" s="1369"/>
      <c r="F30" s="214"/>
      <c r="G30" s="214"/>
      <c r="H30" s="214"/>
      <c r="I30" s="214"/>
      <c r="J30" s="214"/>
      <c r="K30" s="214"/>
      <c r="L30" s="215"/>
      <c r="M30" s="1372" t="s">
        <v>251</v>
      </c>
      <c r="N30" s="1372"/>
      <c r="O30" s="1372"/>
      <c r="P30" s="1372"/>
      <c r="Q30" s="1372"/>
      <c r="R30" s="1372"/>
      <c r="S30" s="1372"/>
      <c r="T30" s="1372"/>
    </row>
    <row r="31" spans="1:20" ht="18.75">
      <c r="A31" s="217"/>
      <c r="B31" s="1323"/>
      <c r="C31" s="1323"/>
      <c r="D31" s="1323"/>
      <c r="E31" s="1323"/>
      <c r="F31" s="218"/>
      <c r="G31" s="218"/>
      <c r="H31" s="218"/>
      <c r="I31" s="218"/>
      <c r="J31" s="218"/>
      <c r="K31" s="218"/>
      <c r="L31" s="218"/>
      <c r="M31" s="1324"/>
      <c r="N31" s="1324"/>
      <c r="O31" s="1324"/>
      <c r="P31" s="1324"/>
      <c r="Q31" s="1324"/>
      <c r="R31" s="1324"/>
      <c r="S31" s="1324"/>
      <c r="T31" s="1324"/>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375" t="s">
        <v>397</v>
      </c>
      <c r="C33" s="1375"/>
      <c r="D33" s="1375"/>
      <c r="E33" s="1375"/>
      <c r="F33" s="1375"/>
      <c r="G33" s="268"/>
      <c r="H33" s="268"/>
      <c r="I33" s="268"/>
      <c r="J33" s="268"/>
      <c r="K33" s="268"/>
      <c r="L33" s="268"/>
      <c r="M33" s="268"/>
      <c r="N33" s="1375" t="s">
        <v>397</v>
      </c>
      <c r="O33" s="1375"/>
      <c r="P33" s="1375"/>
      <c r="Q33" s="1375"/>
      <c r="R33" s="1375"/>
      <c r="S33" s="1375"/>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200" t="s">
        <v>350</v>
      </c>
      <c r="C35" s="1200"/>
      <c r="D35" s="1200"/>
      <c r="E35" s="1200"/>
      <c r="F35" s="219"/>
      <c r="G35" s="219"/>
      <c r="H35" s="219"/>
      <c r="I35" s="191"/>
      <c r="J35" s="191"/>
      <c r="K35" s="191"/>
      <c r="L35" s="191"/>
      <c r="M35" s="1201" t="s">
        <v>351</v>
      </c>
      <c r="N35" s="1201"/>
      <c r="O35" s="1201"/>
      <c r="P35" s="1201"/>
      <c r="Q35" s="1201"/>
      <c r="R35" s="1201"/>
      <c r="S35" s="1201"/>
      <c r="T35" s="1201"/>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F8:G8"/>
    <mergeCell ref="D7:J7"/>
    <mergeCell ref="A13:B13"/>
    <mergeCell ref="B33:F33"/>
    <mergeCell ref="N33:S33"/>
    <mergeCell ref="A14:B14"/>
    <mergeCell ref="M31:T31"/>
    <mergeCell ref="P5:T5"/>
    <mergeCell ref="D6:J6"/>
    <mergeCell ref="M35:T35"/>
    <mergeCell ref="M29:T29"/>
    <mergeCell ref="B35:E35"/>
    <mergeCell ref="B29:E29"/>
    <mergeCell ref="B30:E30"/>
    <mergeCell ref="B31:E31"/>
    <mergeCell ref="A12:B12"/>
    <mergeCell ref="M30:T30"/>
    <mergeCell ref="A1:C1"/>
    <mergeCell ref="A3:C3"/>
    <mergeCell ref="A4:C4"/>
    <mergeCell ref="E2:N2"/>
    <mergeCell ref="A2:D2"/>
    <mergeCell ref="D4:N4"/>
    <mergeCell ref="P1:T1"/>
    <mergeCell ref="P2:T2"/>
    <mergeCell ref="P3:T3"/>
    <mergeCell ref="P4:T4"/>
    <mergeCell ref="N8:P9"/>
    <mergeCell ref="E1:N1"/>
    <mergeCell ref="Q8:Q10"/>
    <mergeCell ref="R8:R10"/>
    <mergeCell ref="E3:N3"/>
    <mergeCell ref="K6:T7"/>
    <mergeCell ref="D8:E8"/>
    <mergeCell ref="G9:G10"/>
    <mergeCell ref="T8:T10"/>
    <mergeCell ref="S8:S10"/>
    <mergeCell ref="K8:M9"/>
    <mergeCell ref="J8:J10"/>
    <mergeCell ref="H9:H10"/>
    <mergeCell ref="D9:D10"/>
    <mergeCell ref="H8:I8"/>
    <mergeCell ref="I9:I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91" t="s">
        <v>280</v>
      </c>
      <c r="B1" s="1391"/>
      <c r="C1" s="1391"/>
      <c r="D1" s="1394" t="s">
        <v>470</v>
      </c>
      <c r="E1" s="1394"/>
      <c r="F1" s="1394"/>
      <c r="G1" s="1394"/>
      <c r="H1" s="1394"/>
      <c r="I1" s="1394"/>
      <c r="J1" s="1395" t="s">
        <v>471</v>
      </c>
      <c r="K1" s="1396"/>
      <c r="L1" s="1396"/>
    </row>
    <row r="2" spans="1:12" ht="34.5" customHeight="1">
      <c r="A2" s="1397" t="s">
        <v>432</v>
      </c>
      <c r="B2" s="1397"/>
      <c r="C2" s="1397"/>
      <c r="D2" s="1394"/>
      <c r="E2" s="1394"/>
      <c r="F2" s="1394"/>
      <c r="G2" s="1394"/>
      <c r="H2" s="1394"/>
      <c r="I2" s="1394"/>
      <c r="J2" s="1398" t="s">
        <v>472</v>
      </c>
      <c r="K2" s="1399"/>
      <c r="L2" s="1399"/>
    </row>
    <row r="3" spans="1:12" ht="15" customHeight="1">
      <c r="A3" s="274" t="s">
        <v>362</v>
      </c>
      <c r="B3" s="183"/>
      <c r="C3" s="1400"/>
      <c r="D3" s="1400"/>
      <c r="E3" s="1400"/>
      <c r="F3" s="1400"/>
      <c r="G3" s="1400"/>
      <c r="H3" s="1400"/>
      <c r="I3" s="1400"/>
      <c r="J3" s="1392"/>
      <c r="K3" s="1393"/>
      <c r="L3" s="1393"/>
    </row>
    <row r="4" spans="1:12" ht="15.75" customHeight="1">
      <c r="A4" s="275"/>
      <c r="B4" s="275"/>
      <c r="C4" s="276"/>
      <c r="D4" s="276"/>
      <c r="E4" s="179"/>
      <c r="F4" s="179"/>
      <c r="G4" s="179"/>
      <c r="H4" s="277"/>
      <c r="I4" s="277"/>
      <c r="J4" s="1401" t="s">
        <v>281</v>
      </c>
      <c r="K4" s="1401"/>
      <c r="L4" s="1401"/>
    </row>
    <row r="5" spans="1:12" s="278" customFormat="1" ht="28.5" customHeight="1">
      <c r="A5" s="1386" t="s">
        <v>72</v>
      </c>
      <c r="B5" s="1386"/>
      <c r="C5" s="1301" t="s">
        <v>38</v>
      </c>
      <c r="D5" s="1301" t="s">
        <v>282</v>
      </c>
      <c r="E5" s="1301"/>
      <c r="F5" s="1301"/>
      <c r="G5" s="1301"/>
      <c r="H5" s="1301" t="s">
        <v>283</v>
      </c>
      <c r="I5" s="1301"/>
      <c r="J5" s="1301" t="s">
        <v>284</v>
      </c>
      <c r="K5" s="1301"/>
      <c r="L5" s="1301"/>
    </row>
    <row r="6" spans="1:13" s="278" customFormat="1" ht="80.25" customHeight="1">
      <c r="A6" s="1386"/>
      <c r="B6" s="1386"/>
      <c r="C6" s="1301"/>
      <c r="D6" s="224" t="s">
        <v>285</v>
      </c>
      <c r="E6" s="224" t="s">
        <v>286</v>
      </c>
      <c r="F6" s="224" t="s">
        <v>433</v>
      </c>
      <c r="G6" s="224" t="s">
        <v>287</v>
      </c>
      <c r="H6" s="224" t="s">
        <v>288</v>
      </c>
      <c r="I6" s="224" t="s">
        <v>289</v>
      </c>
      <c r="J6" s="224" t="s">
        <v>290</v>
      </c>
      <c r="K6" s="224" t="s">
        <v>291</v>
      </c>
      <c r="L6" s="224" t="s">
        <v>292</v>
      </c>
      <c r="M6" s="279"/>
    </row>
    <row r="7" spans="1:12" s="280" customFormat="1" ht="16.5" customHeight="1">
      <c r="A7" s="1402" t="s">
        <v>6</v>
      </c>
      <c r="B7" s="1402"/>
      <c r="C7" s="230">
        <v>1</v>
      </c>
      <c r="D7" s="230">
        <v>2</v>
      </c>
      <c r="E7" s="230">
        <v>3</v>
      </c>
      <c r="F7" s="230">
        <v>4</v>
      </c>
      <c r="G7" s="230">
        <v>5</v>
      </c>
      <c r="H7" s="230">
        <v>6</v>
      </c>
      <c r="I7" s="230">
        <v>7</v>
      </c>
      <c r="J7" s="230">
        <v>8</v>
      </c>
      <c r="K7" s="230">
        <v>9</v>
      </c>
      <c r="L7" s="230">
        <v>10</v>
      </c>
    </row>
    <row r="8" spans="1:12" s="280" customFormat="1" ht="16.5" customHeight="1">
      <c r="A8" s="1389" t="s">
        <v>430</v>
      </c>
      <c r="B8" s="1390"/>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387" t="s">
        <v>406</v>
      </c>
      <c r="B9" s="1388"/>
      <c r="C9" s="233">
        <v>9</v>
      </c>
      <c r="D9" s="233">
        <v>2</v>
      </c>
      <c r="E9" s="233">
        <v>2</v>
      </c>
      <c r="F9" s="233">
        <v>0</v>
      </c>
      <c r="G9" s="233">
        <v>5</v>
      </c>
      <c r="H9" s="233">
        <v>8</v>
      </c>
      <c r="I9" s="233">
        <v>0</v>
      </c>
      <c r="J9" s="233">
        <v>8</v>
      </c>
      <c r="K9" s="233">
        <v>1</v>
      </c>
      <c r="L9" s="233">
        <v>0</v>
      </c>
    </row>
    <row r="10" spans="1:12" s="280" customFormat="1" ht="16.5" customHeight="1">
      <c r="A10" s="1403" t="s">
        <v>277</v>
      </c>
      <c r="B10" s="1403"/>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375</v>
      </c>
      <c r="C13" s="281">
        <f aca="true" t="shared" si="3" ref="C13:C23">D13+E13+F13+G13</f>
        <v>0</v>
      </c>
      <c r="D13" s="240">
        <v>0</v>
      </c>
      <c r="E13" s="240">
        <v>0</v>
      </c>
      <c r="F13" s="240">
        <v>0</v>
      </c>
      <c r="G13" s="240">
        <v>0</v>
      </c>
      <c r="H13" s="240">
        <v>0</v>
      </c>
      <c r="I13" s="240">
        <v>0</v>
      </c>
      <c r="J13" s="282">
        <v>0</v>
      </c>
      <c r="K13" s="282">
        <v>0</v>
      </c>
      <c r="L13" s="282">
        <v>0</v>
      </c>
      <c r="AF13" s="280" t="s">
        <v>374</v>
      </c>
    </row>
    <row r="14" spans="1:37" s="280" customFormat="1" ht="16.5" customHeight="1">
      <c r="A14" s="283">
        <v>2</v>
      </c>
      <c r="B14" s="77" t="s">
        <v>407</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378</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379</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434</v>
      </c>
      <c r="C17" s="281">
        <f t="shared" si="3"/>
        <v>1</v>
      </c>
      <c r="D17" s="240">
        <v>0</v>
      </c>
      <c r="E17" s="240">
        <v>0</v>
      </c>
      <c r="F17" s="240">
        <v>0</v>
      </c>
      <c r="G17" s="240">
        <v>1</v>
      </c>
      <c r="H17" s="240">
        <v>1</v>
      </c>
      <c r="I17" s="240">
        <v>0</v>
      </c>
      <c r="J17" s="282">
        <v>1</v>
      </c>
      <c r="K17" s="282">
        <v>0</v>
      </c>
      <c r="L17" s="282">
        <v>0</v>
      </c>
      <c r="AF17" s="208" t="s">
        <v>377</v>
      </c>
    </row>
    <row r="18" spans="1:12" s="280" customFormat="1" ht="16.5" customHeight="1">
      <c r="A18" s="283">
        <v>6</v>
      </c>
      <c r="B18" s="77" t="s">
        <v>381</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386</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388</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389</v>
      </c>
      <c r="C21" s="281">
        <f t="shared" si="3"/>
        <v>0</v>
      </c>
      <c r="D21" s="240">
        <v>0</v>
      </c>
      <c r="E21" s="240">
        <v>0</v>
      </c>
      <c r="F21" s="240">
        <v>0</v>
      </c>
      <c r="G21" s="240">
        <v>0</v>
      </c>
      <c r="H21" s="240">
        <v>0</v>
      </c>
      <c r="I21" s="240">
        <v>0</v>
      </c>
      <c r="J21" s="282">
        <v>0</v>
      </c>
      <c r="K21" s="282">
        <v>0</v>
      </c>
      <c r="L21" s="282">
        <v>0</v>
      </c>
      <c r="AJ21" s="280" t="s">
        <v>382</v>
      </c>
      <c r="AK21" s="280" t="s">
        <v>383</v>
      </c>
      <c r="AL21" s="280" t="s">
        <v>384</v>
      </c>
      <c r="AM21" s="208" t="s">
        <v>385</v>
      </c>
    </row>
    <row r="22" spans="1:39" s="280" customFormat="1" ht="16.5" customHeight="1">
      <c r="A22" s="283">
        <v>10</v>
      </c>
      <c r="B22" s="77" t="s">
        <v>390</v>
      </c>
      <c r="C22" s="281">
        <f t="shared" si="3"/>
        <v>1</v>
      </c>
      <c r="D22" s="240">
        <v>0</v>
      </c>
      <c r="E22" s="240">
        <v>1</v>
      </c>
      <c r="F22" s="240">
        <v>0</v>
      </c>
      <c r="G22" s="240">
        <v>0</v>
      </c>
      <c r="H22" s="240">
        <v>1</v>
      </c>
      <c r="I22" s="240">
        <v>0</v>
      </c>
      <c r="J22" s="282">
        <v>1</v>
      </c>
      <c r="K22" s="282">
        <v>0</v>
      </c>
      <c r="L22" s="282">
        <v>0</v>
      </c>
      <c r="AM22" s="208" t="s">
        <v>387</v>
      </c>
    </row>
    <row r="23" spans="1:12" s="280" customFormat="1" ht="16.5" customHeight="1">
      <c r="A23" s="283">
        <v>11</v>
      </c>
      <c r="B23" s="77" t="s">
        <v>392</v>
      </c>
      <c r="C23" s="281">
        <f t="shared" si="3"/>
        <v>0</v>
      </c>
      <c r="D23" s="240">
        <v>0</v>
      </c>
      <c r="E23" s="240">
        <v>0</v>
      </c>
      <c r="F23" s="240">
        <v>0</v>
      </c>
      <c r="G23" s="240">
        <v>0</v>
      </c>
      <c r="H23" s="240">
        <v>0</v>
      </c>
      <c r="I23" s="240">
        <v>0</v>
      </c>
      <c r="J23" s="282">
        <v>0</v>
      </c>
      <c r="K23" s="282">
        <v>0</v>
      </c>
      <c r="L23" s="282">
        <v>0</v>
      </c>
    </row>
    <row r="24" ht="9" customHeight="1">
      <c r="AJ24" s="242" t="s">
        <v>382</v>
      </c>
    </row>
    <row r="25" spans="1:36" ht="15.75" customHeight="1">
      <c r="A25" s="1336" t="s">
        <v>435</v>
      </c>
      <c r="B25" s="1336"/>
      <c r="C25" s="1336"/>
      <c r="D25" s="1336"/>
      <c r="E25" s="191"/>
      <c r="F25" s="1341" t="s">
        <v>393</v>
      </c>
      <c r="G25" s="1341"/>
      <c r="H25" s="1341"/>
      <c r="I25" s="1341"/>
      <c r="J25" s="1341"/>
      <c r="K25" s="1341"/>
      <c r="L25" s="1341"/>
      <c r="AJ25" s="199" t="s">
        <v>391</v>
      </c>
    </row>
    <row r="26" spans="1:44" ht="15" customHeight="1">
      <c r="A26" s="1326" t="s">
        <v>250</v>
      </c>
      <c r="B26" s="1326"/>
      <c r="C26" s="1326"/>
      <c r="D26" s="1326"/>
      <c r="E26" s="192"/>
      <c r="F26" s="1329" t="s">
        <v>251</v>
      </c>
      <c r="G26" s="1329"/>
      <c r="H26" s="1329"/>
      <c r="I26" s="1329"/>
      <c r="J26" s="1329"/>
      <c r="K26" s="1329"/>
      <c r="L26" s="1329"/>
      <c r="AR26" s="199"/>
    </row>
    <row r="27" spans="1:12" s="179" customFormat="1" ht="18.75">
      <c r="A27" s="1323"/>
      <c r="B27" s="1323"/>
      <c r="C27" s="1323"/>
      <c r="D27" s="1323"/>
      <c r="E27" s="191"/>
      <c r="F27" s="1324"/>
      <c r="G27" s="1324"/>
      <c r="H27" s="1324"/>
      <c r="I27" s="1324"/>
      <c r="J27" s="1324"/>
      <c r="K27" s="1324"/>
      <c r="L27" s="1324"/>
    </row>
    <row r="28" spans="1:35" ht="18">
      <c r="A28" s="196"/>
      <c r="B28" s="196"/>
      <c r="C28" s="191"/>
      <c r="D28" s="191"/>
      <c r="E28" s="191"/>
      <c r="F28" s="191"/>
      <c r="G28" s="191"/>
      <c r="H28" s="191"/>
      <c r="I28" s="191"/>
      <c r="J28" s="191"/>
      <c r="K28" s="191"/>
      <c r="L28" s="191"/>
      <c r="AG28" s="242" t="s">
        <v>394</v>
      </c>
      <c r="AI28" s="199">
        <f>82/88</f>
        <v>0.9318181818181818</v>
      </c>
    </row>
    <row r="29" spans="1:12" ht="18">
      <c r="A29" s="196"/>
      <c r="B29" s="1385" t="s">
        <v>397</v>
      </c>
      <c r="C29" s="1385"/>
      <c r="D29" s="191"/>
      <c r="E29" s="191"/>
      <c r="F29" s="191"/>
      <c r="G29" s="191"/>
      <c r="H29" s="1385" t="s">
        <v>397</v>
      </c>
      <c r="I29" s="1385"/>
      <c r="J29" s="1385"/>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200" t="s">
        <v>350</v>
      </c>
      <c r="B37" s="1200"/>
      <c r="C37" s="1200"/>
      <c r="D37" s="1200"/>
      <c r="E37" s="219"/>
      <c r="F37" s="1201" t="s">
        <v>351</v>
      </c>
      <c r="G37" s="1201"/>
      <c r="H37" s="1201"/>
      <c r="I37" s="1201"/>
      <c r="J37" s="1201"/>
      <c r="K37" s="1201"/>
      <c r="L37" s="1201"/>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404" t="s">
        <v>298</v>
      </c>
      <c r="B1" s="1404"/>
      <c r="C1" s="1404"/>
      <c r="D1" s="1394" t="s">
        <v>473</v>
      </c>
      <c r="E1" s="1394"/>
      <c r="F1" s="1394"/>
      <c r="G1" s="1394"/>
      <c r="H1" s="1394"/>
      <c r="I1" s="179"/>
      <c r="J1" s="180" t="s">
        <v>467</v>
      </c>
      <c r="K1" s="289"/>
      <c r="L1" s="289"/>
    </row>
    <row r="2" spans="1:12" ht="15.75" customHeight="1">
      <c r="A2" s="1408" t="s">
        <v>408</v>
      </c>
      <c r="B2" s="1408"/>
      <c r="C2" s="1408"/>
      <c r="D2" s="1394"/>
      <c r="E2" s="1394"/>
      <c r="F2" s="1394"/>
      <c r="G2" s="1394"/>
      <c r="H2" s="1394"/>
      <c r="I2" s="179"/>
      <c r="J2" s="290" t="s">
        <v>409</v>
      </c>
      <c r="K2" s="290"/>
      <c r="L2" s="290"/>
    </row>
    <row r="3" spans="1:12" ht="18.75" customHeight="1">
      <c r="A3" s="1314" t="s">
        <v>360</v>
      </c>
      <c r="B3" s="1314"/>
      <c r="C3" s="1314"/>
      <c r="D3" s="176"/>
      <c r="E3" s="176"/>
      <c r="F3" s="176"/>
      <c r="G3" s="176"/>
      <c r="H3" s="176"/>
      <c r="I3" s="179"/>
      <c r="J3" s="183" t="s">
        <v>466</v>
      </c>
      <c r="K3" s="183"/>
      <c r="L3" s="183"/>
    </row>
    <row r="4" spans="1:12" ht="15.75" customHeight="1">
      <c r="A4" s="1405" t="s">
        <v>436</v>
      </c>
      <c r="B4" s="1405"/>
      <c r="C4" s="1405"/>
      <c r="D4" s="1420"/>
      <c r="E4" s="1420"/>
      <c r="F4" s="1420"/>
      <c r="G4" s="1420"/>
      <c r="H4" s="1420"/>
      <c r="I4" s="179"/>
      <c r="J4" s="291" t="s">
        <v>401</v>
      </c>
      <c r="K4" s="291"/>
      <c r="L4" s="291"/>
    </row>
    <row r="5" spans="1:12" ht="15.75">
      <c r="A5" s="1409"/>
      <c r="B5" s="1409"/>
      <c r="C5" s="175"/>
      <c r="D5" s="179"/>
      <c r="E5" s="179"/>
      <c r="F5" s="179"/>
      <c r="G5" s="179"/>
      <c r="H5" s="292"/>
      <c r="I5" s="1421" t="s">
        <v>437</v>
      </c>
      <c r="J5" s="1421"/>
      <c r="K5" s="1421"/>
      <c r="L5" s="1421"/>
    </row>
    <row r="6" spans="1:12" ht="18.75" customHeight="1">
      <c r="A6" s="1306" t="s">
        <v>72</v>
      </c>
      <c r="B6" s="1307"/>
      <c r="C6" s="1416" t="s">
        <v>299</v>
      </c>
      <c r="D6" s="1327" t="s">
        <v>300</v>
      </c>
      <c r="E6" s="1419"/>
      <c r="F6" s="1328"/>
      <c r="G6" s="1327" t="s">
        <v>301</v>
      </c>
      <c r="H6" s="1419"/>
      <c r="I6" s="1419"/>
      <c r="J6" s="1419"/>
      <c r="K6" s="1419"/>
      <c r="L6" s="1328"/>
    </row>
    <row r="7" spans="1:12" ht="15.75" customHeight="1">
      <c r="A7" s="1308"/>
      <c r="B7" s="1309"/>
      <c r="C7" s="1418"/>
      <c r="D7" s="1327" t="s">
        <v>7</v>
      </c>
      <c r="E7" s="1419"/>
      <c r="F7" s="1328"/>
      <c r="G7" s="1416" t="s">
        <v>37</v>
      </c>
      <c r="H7" s="1327" t="s">
        <v>7</v>
      </c>
      <c r="I7" s="1419"/>
      <c r="J7" s="1419"/>
      <c r="K7" s="1419"/>
      <c r="L7" s="1328"/>
    </row>
    <row r="8" spans="1:12" ht="14.25" customHeight="1">
      <c r="A8" s="1308"/>
      <c r="B8" s="1309"/>
      <c r="C8" s="1418"/>
      <c r="D8" s="1416" t="s">
        <v>302</v>
      </c>
      <c r="E8" s="1416" t="s">
        <v>303</v>
      </c>
      <c r="F8" s="1416" t="s">
        <v>304</v>
      </c>
      <c r="G8" s="1418"/>
      <c r="H8" s="1416" t="s">
        <v>305</v>
      </c>
      <c r="I8" s="1416" t="s">
        <v>306</v>
      </c>
      <c r="J8" s="1416" t="s">
        <v>307</v>
      </c>
      <c r="K8" s="1416" t="s">
        <v>308</v>
      </c>
      <c r="L8" s="1416" t="s">
        <v>309</v>
      </c>
    </row>
    <row r="9" spans="1:12" ht="77.25" customHeight="1">
      <c r="A9" s="1310"/>
      <c r="B9" s="1311"/>
      <c r="C9" s="1417"/>
      <c r="D9" s="1417"/>
      <c r="E9" s="1417"/>
      <c r="F9" s="1417"/>
      <c r="G9" s="1417"/>
      <c r="H9" s="1417"/>
      <c r="I9" s="1417"/>
      <c r="J9" s="1417"/>
      <c r="K9" s="1417"/>
      <c r="L9" s="1417"/>
    </row>
    <row r="10" spans="1:12" s="280" customFormat="1" ht="16.5" customHeight="1">
      <c r="A10" s="1410" t="s">
        <v>6</v>
      </c>
      <c r="B10" s="1411"/>
      <c r="C10" s="229">
        <v>1</v>
      </c>
      <c r="D10" s="229">
        <v>2</v>
      </c>
      <c r="E10" s="229">
        <v>3</v>
      </c>
      <c r="F10" s="229">
        <v>4</v>
      </c>
      <c r="G10" s="229">
        <v>5</v>
      </c>
      <c r="H10" s="229">
        <v>6</v>
      </c>
      <c r="I10" s="229">
        <v>7</v>
      </c>
      <c r="J10" s="229">
        <v>8</v>
      </c>
      <c r="K10" s="230" t="s">
        <v>78</v>
      </c>
      <c r="L10" s="230" t="s">
        <v>101</v>
      </c>
    </row>
    <row r="11" spans="1:12" s="280" customFormat="1" ht="16.5" customHeight="1">
      <c r="A11" s="1414" t="s">
        <v>405</v>
      </c>
      <c r="B11" s="1415"/>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412" t="s">
        <v>406</v>
      </c>
      <c r="B12" s="1413"/>
      <c r="C12" s="233">
        <v>12</v>
      </c>
      <c r="D12" s="233">
        <v>0</v>
      </c>
      <c r="E12" s="233">
        <v>1</v>
      </c>
      <c r="F12" s="233">
        <v>11</v>
      </c>
      <c r="G12" s="233">
        <v>10</v>
      </c>
      <c r="H12" s="233">
        <v>0</v>
      </c>
      <c r="I12" s="233">
        <v>0</v>
      </c>
      <c r="J12" s="233">
        <v>0</v>
      </c>
      <c r="K12" s="233">
        <v>6</v>
      </c>
      <c r="L12" s="233">
        <v>4</v>
      </c>
    </row>
    <row r="13" spans="1:32" s="280" customFormat="1" ht="16.5" customHeight="1">
      <c r="A13" s="1406" t="s">
        <v>37</v>
      </c>
      <c r="B13" s="1407"/>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374</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375</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376</v>
      </c>
      <c r="C17" s="235">
        <f t="shared" si="2"/>
        <v>1</v>
      </c>
      <c r="D17" s="240">
        <v>0</v>
      </c>
      <c r="E17" s="240">
        <v>0</v>
      </c>
      <c r="F17" s="240">
        <v>1</v>
      </c>
      <c r="G17" s="235">
        <f t="shared" si="1"/>
        <v>1</v>
      </c>
      <c r="H17" s="240">
        <v>0</v>
      </c>
      <c r="I17" s="240">
        <v>0</v>
      </c>
      <c r="J17" s="282">
        <v>0</v>
      </c>
      <c r="K17" s="282">
        <v>0</v>
      </c>
      <c r="L17" s="282">
        <v>1</v>
      </c>
      <c r="M17" s="294"/>
      <c r="AF17" s="208" t="s">
        <v>377</v>
      </c>
    </row>
    <row r="18" spans="1:14" s="280" customFormat="1" ht="15.75" customHeight="1">
      <c r="A18" s="209">
        <v>3</v>
      </c>
      <c r="B18" s="77" t="s">
        <v>378</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379</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380</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381</v>
      </c>
      <c r="C21" s="235">
        <f t="shared" si="2"/>
        <v>0</v>
      </c>
      <c r="D21" s="240">
        <v>0</v>
      </c>
      <c r="E21" s="240">
        <v>0</v>
      </c>
      <c r="F21" s="240">
        <v>0</v>
      </c>
      <c r="G21" s="235">
        <f t="shared" si="1"/>
        <v>0</v>
      </c>
      <c r="H21" s="240">
        <v>0</v>
      </c>
      <c r="I21" s="240">
        <v>0</v>
      </c>
      <c r="J21" s="282">
        <v>0</v>
      </c>
      <c r="K21" s="282">
        <v>0</v>
      </c>
      <c r="L21" s="282">
        <v>0</v>
      </c>
      <c r="M21" s="294"/>
      <c r="AJ21" s="280" t="s">
        <v>382</v>
      </c>
      <c r="AK21" s="280" t="s">
        <v>383</v>
      </c>
      <c r="AL21" s="280" t="s">
        <v>384</v>
      </c>
      <c r="AM21" s="208" t="s">
        <v>385</v>
      </c>
    </row>
    <row r="22" spans="1:39" s="280" customFormat="1" ht="15.75" customHeight="1">
      <c r="A22" s="209">
        <v>7</v>
      </c>
      <c r="B22" s="77" t="s">
        <v>386</v>
      </c>
      <c r="C22" s="235">
        <f t="shared" si="2"/>
        <v>0</v>
      </c>
      <c r="D22" s="240">
        <v>0</v>
      </c>
      <c r="E22" s="240">
        <v>0</v>
      </c>
      <c r="F22" s="240">
        <v>0</v>
      </c>
      <c r="G22" s="235">
        <f t="shared" si="1"/>
        <v>0</v>
      </c>
      <c r="H22" s="240">
        <v>0</v>
      </c>
      <c r="I22" s="240">
        <v>0</v>
      </c>
      <c r="J22" s="282">
        <v>0</v>
      </c>
      <c r="K22" s="282">
        <v>0</v>
      </c>
      <c r="L22" s="282">
        <v>0</v>
      </c>
      <c r="M22" s="294"/>
      <c r="N22" s="187"/>
      <c r="AM22" s="208" t="s">
        <v>387</v>
      </c>
    </row>
    <row r="23" spans="1:13" s="280" customFormat="1" ht="15.75" customHeight="1">
      <c r="A23" s="209">
        <v>8</v>
      </c>
      <c r="B23" s="77" t="s">
        <v>388</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389</v>
      </c>
      <c r="C24" s="235">
        <f t="shared" si="2"/>
        <v>0</v>
      </c>
      <c r="D24" s="240">
        <v>0</v>
      </c>
      <c r="E24" s="240">
        <v>0</v>
      </c>
      <c r="F24" s="240">
        <v>0</v>
      </c>
      <c r="G24" s="235">
        <f t="shared" si="1"/>
        <v>0</v>
      </c>
      <c r="H24" s="240">
        <v>0</v>
      </c>
      <c r="I24" s="240">
        <v>0</v>
      </c>
      <c r="J24" s="282">
        <v>0</v>
      </c>
      <c r="K24" s="282">
        <v>0</v>
      </c>
      <c r="L24" s="282">
        <v>0</v>
      </c>
      <c r="M24" s="294"/>
      <c r="AJ24" s="280" t="s">
        <v>382</v>
      </c>
    </row>
    <row r="25" spans="1:36" s="280" customFormat="1" ht="15.75" customHeight="1">
      <c r="A25" s="209">
        <v>10</v>
      </c>
      <c r="B25" s="77" t="s">
        <v>390</v>
      </c>
      <c r="C25" s="235">
        <f t="shared" si="2"/>
        <v>1</v>
      </c>
      <c r="D25" s="240">
        <v>0</v>
      </c>
      <c r="E25" s="240">
        <v>0</v>
      </c>
      <c r="F25" s="240">
        <v>1</v>
      </c>
      <c r="G25" s="235">
        <f t="shared" si="1"/>
        <v>1</v>
      </c>
      <c r="H25" s="240">
        <v>0</v>
      </c>
      <c r="I25" s="240">
        <v>0</v>
      </c>
      <c r="J25" s="282">
        <v>0</v>
      </c>
      <c r="K25" s="282">
        <v>0</v>
      </c>
      <c r="L25" s="282">
        <v>1</v>
      </c>
      <c r="M25" s="294"/>
      <c r="AJ25" s="208" t="s">
        <v>391</v>
      </c>
    </row>
    <row r="26" spans="1:44" s="280" customFormat="1" ht="15.75" customHeight="1">
      <c r="A26" s="209">
        <v>11</v>
      </c>
      <c r="B26" s="77" t="s">
        <v>392</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336" t="s">
        <v>393</v>
      </c>
      <c r="B28" s="1336"/>
      <c r="C28" s="1336"/>
      <c r="D28" s="1336"/>
      <c r="E28" s="1336"/>
      <c r="F28" s="191"/>
      <c r="G28" s="190"/>
      <c r="H28" s="303" t="s">
        <v>438</v>
      </c>
      <c r="I28" s="304"/>
      <c r="J28" s="304"/>
      <c r="K28" s="304"/>
      <c r="L28" s="304"/>
      <c r="AG28" s="242" t="s">
        <v>394</v>
      </c>
      <c r="AI28" s="199">
        <f>82/88</f>
        <v>0.9318181818181818</v>
      </c>
    </row>
    <row r="29" spans="1:12" ht="15" customHeight="1">
      <c r="A29" s="1326" t="s">
        <v>4</v>
      </c>
      <c r="B29" s="1326"/>
      <c r="C29" s="1326"/>
      <c r="D29" s="1326"/>
      <c r="E29" s="1326"/>
      <c r="F29" s="191"/>
      <c r="G29" s="192"/>
      <c r="H29" s="1329" t="s">
        <v>251</v>
      </c>
      <c r="I29" s="1329"/>
      <c r="J29" s="1329"/>
      <c r="K29" s="1329"/>
      <c r="L29" s="1329"/>
    </row>
    <row r="30" spans="1:14" s="179" customFormat="1" ht="18.75">
      <c r="A30" s="1323"/>
      <c r="B30" s="1323"/>
      <c r="C30" s="1323"/>
      <c r="D30" s="1323"/>
      <c r="E30" s="1323"/>
      <c r="F30" s="305"/>
      <c r="G30" s="191"/>
      <c r="H30" s="1324"/>
      <c r="I30" s="1324"/>
      <c r="J30" s="1324"/>
      <c r="K30" s="1324"/>
      <c r="L30" s="1324"/>
      <c r="M30" s="306"/>
      <c r="N30" s="306"/>
    </row>
    <row r="31" spans="1:12" ht="18">
      <c r="A31" s="191"/>
      <c r="B31" s="191"/>
      <c r="C31" s="191"/>
      <c r="D31" s="191"/>
      <c r="E31" s="191"/>
      <c r="F31" s="191"/>
      <c r="G31" s="191"/>
      <c r="H31" s="191"/>
      <c r="I31" s="191"/>
      <c r="J31" s="191"/>
      <c r="K31" s="191"/>
      <c r="L31" s="307"/>
    </row>
    <row r="32" spans="1:12" ht="18">
      <c r="A32" s="191"/>
      <c r="B32" s="1385" t="s">
        <v>397</v>
      </c>
      <c r="C32" s="1385"/>
      <c r="D32" s="1385"/>
      <c r="E32" s="1385"/>
      <c r="F32" s="191"/>
      <c r="G32" s="191"/>
      <c r="H32" s="191"/>
      <c r="I32" s="1385" t="s">
        <v>397</v>
      </c>
      <c r="J32" s="1385"/>
      <c r="K32" s="1385"/>
      <c r="L32" s="307"/>
    </row>
    <row r="33" spans="1:12" ht="10.5" customHeight="1">
      <c r="A33" s="191"/>
      <c r="B33" s="191"/>
      <c r="C33" s="308" t="s">
        <v>396</v>
      </c>
      <c r="D33" s="308"/>
      <c r="E33" s="308"/>
      <c r="F33" s="308"/>
      <c r="G33" s="308"/>
      <c r="H33" s="308"/>
      <c r="I33" s="308"/>
      <c r="J33" s="309" t="s">
        <v>396</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422" t="s">
        <v>310</v>
      </c>
      <c r="C40" s="1422"/>
      <c r="D40" s="1422"/>
      <c r="E40" s="1422"/>
      <c r="F40" s="1422"/>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200" t="s">
        <v>439</v>
      </c>
      <c r="B43" s="1200"/>
      <c r="C43" s="1200"/>
      <c r="D43" s="1200"/>
      <c r="E43" s="1200"/>
      <c r="F43" s="191"/>
      <c r="G43" s="310"/>
      <c r="H43" s="1201" t="s">
        <v>351</v>
      </c>
      <c r="I43" s="1201"/>
      <c r="J43" s="1201"/>
      <c r="K43" s="1201"/>
      <c r="L43" s="1201"/>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317" t="s">
        <v>313</v>
      </c>
      <c r="B1" s="1317"/>
      <c r="C1" s="1317"/>
      <c r="D1" s="1317"/>
      <c r="E1" s="315"/>
      <c r="F1" s="1312" t="s">
        <v>474</v>
      </c>
      <c r="G1" s="1312"/>
      <c r="H1" s="1312"/>
      <c r="I1" s="1312"/>
      <c r="J1" s="1312"/>
      <c r="K1" s="1312"/>
      <c r="L1" s="1312"/>
      <c r="M1" s="1312"/>
      <c r="N1" s="1312"/>
      <c r="O1" s="1312"/>
      <c r="P1" s="316" t="s">
        <v>398</v>
      </c>
      <c r="Q1" s="317"/>
      <c r="R1" s="317"/>
      <c r="S1" s="317"/>
      <c r="T1" s="317"/>
    </row>
    <row r="2" spans="1:20" s="186" customFormat="1" ht="20.25" customHeight="1">
      <c r="A2" s="1424" t="s">
        <v>408</v>
      </c>
      <c r="B2" s="1424"/>
      <c r="C2" s="1424"/>
      <c r="D2" s="1424"/>
      <c r="E2" s="315"/>
      <c r="F2" s="1312"/>
      <c r="G2" s="1312"/>
      <c r="H2" s="1312"/>
      <c r="I2" s="1312"/>
      <c r="J2" s="1312"/>
      <c r="K2" s="1312"/>
      <c r="L2" s="1312"/>
      <c r="M2" s="1312"/>
      <c r="N2" s="1312"/>
      <c r="O2" s="1312"/>
      <c r="P2" s="317" t="s">
        <v>440</v>
      </c>
      <c r="Q2" s="317"/>
      <c r="R2" s="317"/>
      <c r="S2" s="317"/>
      <c r="T2" s="317"/>
    </row>
    <row r="3" spans="1:20" s="186" customFormat="1" ht="15" customHeight="1">
      <c r="A3" s="1424" t="s">
        <v>360</v>
      </c>
      <c r="B3" s="1424"/>
      <c r="C3" s="1424"/>
      <c r="D3" s="1424"/>
      <c r="E3" s="315"/>
      <c r="F3" s="1312"/>
      <c r="G3" s="1312"/>
      <c r="H3" s="1312"/>
      <c r="I3" s="1312"/>
      <c r="J3" s="1312"/>
      <c r="K3" s="1312"/>
      <c r="L3" s="1312"/>
      <c r="M3" s="1312"/>
      <c r="N3" s="1312"/>
      <c r="O3" s="1312"/>
      <c r="P3" s="316" t="s">
        <v>466</v>
      </c>
      <c r="Q3" s="316"/>
      <c r="R3" s="316"/>
      <c r="S3" s="318"/>
      <c r="T3" s="318"/>
    </row>
    <row r="4" spans="1:20" s="186" customFormat="1" ht="15.75" customHeight="1">
      <c r="A4" s="1423" t="s">
        <v>441</v>
      </c>
      <c r="B4" s="1423"/>
      <c r="C4" s="1423"/>
      <c r="D4" s="1423"/>
      <c r="E4" s="316"/>
      <c r="F4" s="1312"/>
      <c r="G4" s="1312"/>
      <c r="H4" s="1312"/>
      <c r="I4" s="1312"/>
      <c r="J4" s="1312"/>
      <c r="K4" s="1312"/>
      <c r="L4" s="1312"/>
      <c r="M4" s="1312"/>
      <c r="N4" s="1312"/>
      <c r="O4" s="1312"/>
      <c r="P4" s="317" t="s">
        <v>410</v>
      </c>
      <c r="Q4" s="316"/>
      <c r="R4" s="316"/>
      <c r="S4" s="318"/>
      <c r="T4" s="318"/>
    </row>
    <row r="5" spans="1:18" s="186" customFormat="1" ht="24" customHeight="1">
      <c r="A5" s="319"/>
      <c r="B5" s="319"/>
      <c r="C5" s="319"/>
      <c r="F5" s="1425"/>
      <c r="G5" s="1425"/>
      <c r="H5" s="1425"/>
      <c r="I5" s="1425"/>
      <c r="J5" s="1425"/>
      <c r="K5" s="1425"/>
      <c r="L5" s="1425"/>
      <c r="M5" s="1425"/>
      <c r="N5" s="1425"/>
      <c r="O5" s="1425"/>
      <c r="P5" s="320" t="s">
        <v>442</v>
      </c>
      <c r="Q5" s="321"/>
      <c r="R5" s="321"/>
    </row>
    <row r="6" spans="1:20" s="322" customFormat="1" ht="21.75" customHeight="1">
      <c r="A6" s="1436" t="s">
        <v>72</v>
      </c>
      <c r="B6" s="1437"/>
      <c r="C6" s="1320" t="s">
        <v>38</v>
      </c>
      <c r="D6" s="1304"/>
      <c r="E6" s="1320" t="s">
        <v>7</v>
      </c>
      <c r="F6" s="1428"/>
      <c r="G6" s="1428"/>
      <c r="H6" s="1428"/>
      <c r="I6" s="1428"/>
      <c r="J6" s="1428"/>
      <c r="K6" s="1428"/>
      <c r="L6" s="1428"/>
      <c r="M6" s="1428"/>
      <c r="N6" s="1428"/>
      <c r="O6" s="1428"/>
      <c r="P6" s="1428"/>
      <c r="Q6" s="1428"/>
      <c r="R6" s="1428"/>
      <c r="S6" s="1428"/>
      <c r="T6" s="1304"/>
    </row>
    <row r="7" spans="1:21" s="322" customFormat="1" ht="22.5" customHeight="1">
      <c r="A7" s="1438"/>
      <c r="B7" s="1439"/>
      <c r="C7" s="1337" t="s">
        <v>443</v>
      </c>
      <c r="D7" s="1337" t="s">
        <v>444</v>
      </c>
      <c r="E7" s="1320" t="s">
        <v>314</v>
      </c>
      <c r="F7" s="1431"/>
      <c r="G7" s="1431"/>
      <c r="H7" s="1431"/>
      <c r="I7" s="1431"/>
      <c r="J7" s="1431"/>
      <c r="K7" s="1431"/>
      <c r="L7" s="1432"/>
      <c r="M7" s="1320" t="s">
        <v>445</v>
      </c>
      <c r="N7" s="1428"/>
      <c r="O7" s="1428"/>
      <c r="P7" s="1428"/>
      <c r="Q7" s="1428"/>
      <c r="R7" s="1428"/>
      <c r="S7" s="1428"/>
      <c r="T7" s="1304"/>
      <c r="U7" s="323"/>
    </row>
    <row r="8" spans="1:20" s="322" customFormat="1" ht="42.75" customHeight="1">
      <c r="A8" s="1438"/>
      <c r="B8" s="1439"/>
      <c r="C8" s="1338"/>
      <c r="D8" s="1338"/>
      <c r="E8" s="1301" t="s">
        <v>446</v>
      </c>
      <c r="F8" s="1301"/>
      <c r="G8" s="1320" t="s">
        <v>447</v>
      </c>
      <c r="H8" s="1428"/>
      <c r="I8" s="1428"/>
      <c r="J8" s="1428"/>
      <c r="K8" s="1428"/>
      <c r="L8" s="1304"/>
      <c r="M8" s="1301" t="s">
        <v>448</v>
      </c>
      <c r="N8" s="1301"/>
      <c r="O8" s="1320" t="s">
        <v>447</v>
      </c>
      <c r="P8" s="1428"/>
      <c r="Q8" s="1428"/>
      <c r="R8" s="1428"/>
      <c r="S8" s="1428"/>
      <c r="T8" s="1304"/>
    </row>
    <row r="9" spans="1:20" s="322" customFormat="1" ht="35.25" customHeight="1">
      <c r="A9" s="1438"/>
      <c r="B9" s="1439"/>
      <c r="C9" s="1338"/>
      <c r="D9" s="1338"/>
      <c r="E9" s="1337" t="s">
        <v>315</v>
      </c>
      <c r="F9" s="1337" t="s">
        <v>316</v>
      </c>
      <c r="G9" s="1429" t="s">
        <v>317</v>
      </c>
      <c r="H9" s="1430"/>
      <c r="I9" s="1429" t="s">
        <v>318</v>
      </c>
      <c r="J9" s="1430"/>
      <c r="K9" s="1429" t="s">
        <v>319</v>
      </c>
      <c r="L9" s="1430"/>
      <c r="M9" s="1337" t="s">
        <v>320</v>
      </c>
      <c r="N9" s="1337" t="s">
        <v>316</v>
      </c>
      <c r="O9" s="1429" t="s">
        <v>317</v>
      </c>
      <c r="P9" s="1430"/>
      <c r="Q9" s="1429" t="s">
        <v>321</v>
      </c>
      <c r="R9" s="1430"/>
      <c r="S9" s="1429" t="s">
        <v>322</v>
      </c>
      <c r="T9" s="1430"/>
    </row>
    <row r="10" spans="1:20" s="322" customFormat="1" ht="25.5" customHeight="1">
      <c r="A10" s="1429"/>
      <c r="B10" s="1430"/>
      <c r="C10" s="1339"/>
      <c r="D10" s="1339"/>
      <c r="E10" s="1339"/>
      <c r="F10" s="1339"/>
      <c r="G10" s="224" t="s">
        <v>320</v>
      </c>
      <c r="H10" s="224" t="s">
        <v>316</v>
      </c>
      <c r="I10" s="228" t="s">
        <v>320</v>
      </c>
      <c r="J10" s="224" t="s">
        <v>316</v>
      </c>
      <c r="K10" s="228" t="s">
        <v>320</v>
      </c>
      <c r="L10" s="224" t="s">
        <v>316</v>
      </c>
      <c r="M10" s="1339"/>
      <c r="N10" s="1339"/>
      <c r="O10" s="224" t="s">
        <v>320</v>
      </c>
      <c r="P10" s="224" t="s">
        <v>316</v>
      </c>
      <c r="Q10" s="228" t="s">
        <v>320</v>
      </c>
      <c r="R10" s="224" t="s">
        <v>316</v>
      </c>
      <c r="S10" s="228" t="s">
        <v>320</v>
      </c>
      <c r="T10" s="224" t="s">
        <v>316</v>
      </c>
    </row>
    <row r="11" spans="1:32" s="231" customFormat="1" ht="12.75">
      <c r="A11" s="1426" t="s">
        <v>6</v>
      </c>
      <c r="B11" s="1427"/>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374</v>
      </c>
    </row>
    <row r="12" spans="1:20" s="231" customFormat="1" ht="20.25" customHeight="1">
      <c r="A12" s="1442" t="s">
        <v>430</v>
      </c>
      <c r="B12" s="1443"/>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440" t="s">
        <v>406</v>
      </c>
      <c r="B13" s="1441"/>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433" t="s">
        <v>37</v>
      </c>
      <c r="B14" s="1434"/>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375</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377</v>
      </c>
    </row>
    <row r="18" spans="1:20" s="187" customFormat="1" ht="15.75" customHeight="1">
      <c r="A18" s="209">
        <v>2</v>
      </c>
      <c r="B18" s="77" t="s">
        <v>407</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378</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379</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380</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382</v>
      </c>
      <c r="AK21" s="187" t="s">
        <v>383</v>
      </c>
      <c r="AL21" s="187" t="s">
        <v>384</v>
      </c>
      <c r="AM21" s="208" t="s">
        <v>385</v>
      </c>
    </row>
    <row r="22" spans="1:39" s="187" customFormat="1" ht="15.75" customHeight="1">
      <c r="A22" s="209">
        <v>6</v>
      </c>
      <c r="B22" s="77" t="s">
        <v>381</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387</v>
      </c>
    </row>
    <row r="23" spans="1:20" s="187" customFormat="1" ht="15.75" customHeight="1">
      <c r="A23" s="209">
        <v>7</v>
      </c>
      <c r="B23" s="77" t="s">
        <v>386</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388</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382</v>
      </c>
    </row>
    <row r="25" spans="1:36" s="187" customFormat="1" ht="15.75" customHeight="1">
      <c r="A25" s="209">
        <v>9</v>
      </c>
      <c r="B25" s="77" t="s">
        <v>389</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391</v>
      </c>
    </row>
    <row r="26" spans="1:44" s="187" customFormat="1" ht="15.75" customHeight="1">
      <c r="A26" s="209">
        <v>10</v>
      </c>
      <c r="B26" s="77" t="s">
        <v>390</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392</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394</v>
      </c>
      <c r="AI28" s="199">
        <f>82/88</f>
        <v>0.9318181818181818</v>
      </c>
    </row>
    <row r="29" spans="1:20" ht="15.75" customHeight="1">
      <c r="A29" s="189"/>
      <c r="B29" s="1336" t="s">
        <v>393</v>
      </c>
      <c r="C29" s="1336"/>
      <c r="D29" s="1336"/>
      <c r="E29" s="1336"/>
      <c r="F29" s="1336"/>
      <c r="G29" s="1336"/>
      <c r="H29" s="190"/>
      <c r="I29" s="190"/>
      <c r="J29" s="191"/>
      <c r="K29" s="190"/>
      <c r="L29" s="1341" t="s">
        <v>393</v>
      </c>
      <c r="M29" s="1341"/>
      <c r="N29" s="1341"/>
      <c r="O29" s="1341"/>
      <c r="P29" s="1341"/>
      <c r="Q29" s="1341"/>
      <c r="R29" s="1341"/>
      <c r="S29" s="1341"/>
      <c r="T29" s="1341"/>
    </row>
    <row r="30" spans="1:20" ht="15" customHeight="1">
      <c r="A30" s="189"/>
      <c r="B30" s="1326" t="s">
        <v>43</v>
      </c>
      <c r="C30" s="1326"/>
      <c r="D30" s="1326"/>
      <c r="E30" s="1326"/>
      <c r="F30" s="1326"/>
      <c r="G30" s="1326"/>
      <c r="H30" s="192"/>
      <c r="I30" s="192"/>
      <c r="J30" s="192"/>
      <c r="K30" s="192"/>
      <c r="L30" s="1329" t="s">
        <v>349</v>
      </c>
      <c r="M30" s="1329"/>
      <c r="N30" s="1329"/>
      <c r="O30" s="1329"/>
      <c r="P30" s="1329"/>
      <c r="Q30" s="1329"/>
      <c r="R30" s="1329"/>
      <c r="S30" s="1329"/>
      <c r="T30" s="1329"/>
    </row>
    <row r="31" spans="1:20" s="329" customFormat="1" ht="18.75">
      <c r="A31" s="327"/>
      <c r="B31" s="1323"/>
      <c r="C31" s="1323"/>
      <c r="D31" s="1323"/>
      <c r="E31" s="1323"/>
      <c r="F31" s="1323"/>
      <c r="G31" s="328"/>
      <c r="H31" s="328"/>
      <c r="I31" s="328"/>
      <c r="J31" s="328"/>
      <c r="K31" s="328"/>
      <c r="L31" s="1324"/>
      <c r="M31" s="1324"/>
      <c r="N31" s="1324"/>
      <c r="O31" s="1324"/>
      <c r="P31" s="1324"/>
      <c r="Q31" s="1324"/>
      <c r="R31" s="1324"/>
      <c r="S31" s="1324"/>
      <c r="T31" s="1324"/>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435" t="s">
        <v>397</v>
      </c>
      <c r="C33" s="1435"/>
      <c r="D33" s="1435"/>
      <c r="E33" s="1435"/>
      <c r="F33" s="1435"/>
      <c r="G33" s="330"/>
      <c r="H33" s="330"/>
      <c r="I33" s="330"/>
      <c r="J33" s="330"/>
      <c r="K33" s="330"/>
      <c r="L33" s="330"/>
      <c r="M33" s="330"/>
      <c r="N33" s="330"/>
      <c r="O33" s="1435" t="s">
        <v>397</v>
      </c>
      <c r="P33" s="1435"/>
      <c r="Q33" s="1435"/>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200" t="s">
        <v>350</v>
      </c>
      <c r="C39" s="1200"/>
      <c r="D39" s="1200"/>
      <c r="E39" s="1200"/>
      <c r="F39" s="1200"/>
      <c r="G39" s="1200"/>
      <c r="H39" s="191"/>
      <c r="I39" s="191"/>
      <c r="J39" s="191"/>
      <c r="K39" s="191"/>
      <c r="L39" s="1201" t="s">
        <v>351</v>
      </c>
      <c r="M39" s="1201"/>
      <c r="N39" s="1201"/>
      <c r="O39" s="1201"/>
      <c r="P39" s="1201"/>
      <c r="Q39" s="1201"/>
      <c r="R39" s="1201"/>
      <c r="S39" s="1201"/>
      <c r="T39" s="1201"/>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F1:O4"/>
    <mergeCell ref="O33:Q33"/>
    <mergeCell ref="M7:T7"/>
    <mergeCell ref="A6:B10"/>
    <mergeCell ref="G9:H9"/>
    <mergeCell ref="D7:D10"/>
    <mergeCell ref="C6:D6"/>
    <mergeCell ref="A13:B13"/>
    <mergeCell ref="A12:B12"/>
    <mergeCell ref="G8:L8"/>
    <mergeCell ref="B39:G39"/>
    <mergeCell ref="L29:T29"/>
    <mergeCell ref="L30:T30"/>
    <mergeCell ref="L39:T39"/>
    <mergeCell ref="B30:G30"/>
    <mergeCell ref="B29:G29"/>
    <mergeCell ref="B33:F33"/>
    <mergeCell ref="N9:N10"/>
    <mergeCell ref="O9:P9"/>
    <mergeCell ref="B31:F31"/>
    <mergeCell ref="L31:T31"/>
    <mergeCell ref="K9:L9"/>
    <mergeCell ref="E9:E10"/>
    <mergeCell ref="Q9:R9"/>
    <mergeCell ref="C7:C10"/>
    <mergeCell ref="I9:J9"/>
    <mergeCell ref="A14:B14"/>
    <mergeCell ref="F5:O5"/>
    <mergeCell ref="A11:B11"/>
    <mergeCell ref="O8:T8"/>
    <mergeCell ref="E8:F8"/>
    <mergeCell ref="S9:T9"/>
    <mergeCell ref="F9:F10"/>
    <mergeCell ref="E7:L7"/>
    <mergeCell ref="E6:T6"/>
    <mergeCell ref="M8:N8"/>
    <mergeCell ref="M9:M10"/>
    <mergeCell ref="A1:D1"/>
    <mergeCell ref="A4:D4"/>
    <mergeCell ref="A2:D2"/>
    <mergeCell ref="A3:D3"/>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pc</cp:lastModifiedBy>
  <cp:lastPrinted>2016-08-08T07:25:31Z</cp:lastPrinted>
  <dcterms:created xsi:type="dcterms:W3CDTF">2004-03-07T02:36:29Z</dcterms:created>
  <dcterms:modified xsi:type="dcterms:W3CDTF">2016-09-08T00:59:18Z</dcterms:modified>
  <cp:category/>
  <cp:version/>
  <cp:contentType/>
  <cp:contentStatus/>
</cp:coreProperties>
</file>